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3.xml" ContentType="application/vnd.openxmlformats-officedocument.drawing+xml"/>
  <Override PartName="/xl/styles.xml" ContentType="application/vnd.openxmlformats-officedocument.spreadsheetml.styles+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charts/chart1.xml" ContentType="application/vnd.openxmlformats-officedocument.drawingml.char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xl/comments1.xml" ContentType="application/vnd.openxmlformats-officedocument.spreadsheetml.comment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GKatsins\Documents\Finance Topics\Vertex42 Docs\"/>
    </mc:Choice>
  </mc:AlternateContent>
  <bookViews>
    <workbookView xWindow="0" yWindow="0" windowWidth="24090" windowHeight="12960"/>
  </bookViews>
  <sheets>
    <sheet name="Retirement" sheetId="1" r:id="rId1"/>
    <sheet name="Help" sheetId="7" r:id="rId2"/>
    <sheet name="©" sheetId="6" r:id="rId3"/>
  </sheets>
  <definedNames>
    <definedName name="_xlnm.Print_Area" localSheetId="0">Retirement!$A$1:$K$205</definedName>
    <definedName name="_xlnm.Print_Titles" localSheetId="0">Retirement!$47:$47</definedName>
    <definedName name="solver_adj" localSheetId="0" hidden="1">Retirement!$E$15,Retirement!#REF!,Retirement!$K$14</definedName>
    <definedName name="solver_cvg" localSheetId="0" hidden="1">0.0001</definedName>
    <definedName name="solver_drv" localSheetId="0" hidden="1">1</definedName>
    <definedName name="solver_est" localSheetId="0" hidden="1">1</definedName>
    <definedName name="solver_itr" localSheetId="0" hidden="1">100</definedName>
    <definedName name="solver_lin" localSheetId="0" hidden="1">2</definedName>
    <definedName name="solver_neg" localSheetId="0" hidden="1">2</definedName>
    <definedName name="solver_num" localSheetId="0" hidden="1">0</definedName>
    <definedName name="solver_nwt" localSheetId="0" hidden="1">1</definedName>
    <definedName name="solver_opt" localSheetId="0" hidden="1">Retirement!#REF!</definedName>
    <definedName name="solver_pre" localSheetId="0" hidden="1">0.000001</definedName>
    <definedName name="solver_scl" localSheetId="0" hidden="1">2</definedName>
    <definedName name="solver_sho" localSheetId="0" hidden="1">2</definedName>
    <definedName name="solver_tim" localSheetId="0" hidden="1">100</definedName>
    <definedName name="solver_tol" localSheetId="0" hidden="1">0.05</definedName>
    <definedName name="solver_typ" localSheetId="0" hidden="1">2</definedName>
    <definedName name="solver_val" localSheetId="0" hidden="1">1000</definedName>
    <definedName name="valuevx">42.314159</definedName>
    <definedName name="vertex42_copyright" hidden="1">"© 2015-2016 Vertex42 LLC"</definedName>
    <definedName name="vertex42_id" hidden="1">"retirement-calculator.xlsx"</definedName>
    <definedName name="vertex42_title" hidden="1">"Retirement Calculator"</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3" i="1" l="1"/>
  <c r="E27" i="1" l="1"/>
  <c r="E42" i="1" l="1"/>
  <c r="A127" i="1" l="1"/>
  <c r="K129" i="1"/>
  <c r="A130" i="1" s="1"/>
  <c r="D130" i="1"/>
  <c r="B130" i="1" l="1"/>
  <c r="C130" i="1" s="1"/>
  <c r="I130" i="1"/>
  <c r="F130" i="1"/>
  <c r="H130" i="1" l="1"/>
  <c r="K15" i="1"/>
  <c r="D49" i="1" l="1"/>
  <c r="K48" i="1"/>
  <c r="A49" i="1" l="1"/>
  <c r="B49" i="1" l="1"/>
  <c r="H49" i="1" s="1"/>
  <c r="F49" i="1"/>
  <c r="K10" i="1" l="1"/>
  <c r="K11" i="1" l="1"/>
  <c r="A50" i="1"/>
  <c r="F50" i="1" l="1"/>
  <c r="I49" i="1"/>
  <c r="A51" i="1"/>
  <c r="B50" i="1"/>
  <c r="H50" i="1" s="1"/>
  <c r="F51" i="1" l="1"/>
  <c r="B51" i="1"/>
  <c r="H51" i="1" s="1"/>
  <c r="A52" i="1"/>
  <c r="F52" i="1" l="1"/>
  <c r="B52" i="1"/>
  <c r="H52" i="1" s="1"/>
  <c r="A53" i="1"/>
  <c r="F53" i="1" l="1"/>
  <c r="B53" i="1"/>
  <c r="H53" i="1" s="1"/>
  <c r="A54" i="1"/>
  <c r="F54" i="1" l="1"/>
  <c r="B54" i="1"/>
  <c r="H54" i="1" s="1"/>
  <c r="A55" i="1"/>
  <c r="F55" i="1" l="1"/>
  <c r="B55" i="1"/>
  <c r="H55" i="1" s="1"/>
  <c r="A56" i="1"/>
  <c r="F56" i="1" l="1"/>
  <c r="B56" i="1"/>
  <c r="H56" i="1" s="1"/>
  <c r="A57" i="1"/>
  <c r="F57" i="1" l="1"/>
  <c r="B57" i="1"/>
  <c r="H57" i="1" s="1"/>
  <c r="A58" i="1"/>
  <c r="F58" i="1" l="1"/>
  <c r="B58" i="1"/>
  <c r="H58" i="1" s="1"/>
  <c r="A59" i="1"/>
  <c r="F59" i="1" l="1"/>
  <c r="B59" i="1"/>
  <c r="H59" i="1" s="1"/>
  <c r="A60" i="1"/>
  <c r="F60" i="1" l="1"/>
  <c r="B60" i="1"/>
  <c r="H60" i="1" s="1"/>
  <c r="A61" i="1"/>
  <c r="F61" i="1" l="1"/>
  <c r="B61" i="1"/>
  <c r="H61" i="1" s="1"/>
  <c r="A62" i="1"/>
  <c r="F62" i="1" l="1"/>
  <c r="B62" i="1"/>
  <c r="H62" i="1" s="1"/>
  <c r="A63" i="1"/>
  <c r="F63" i="1" l="1"/>
  <c r="B63" i="1"/>
  <c r="H63" i="1" s="1"/>
  <c r="A64" i="1"/>
  <c r="F64" i="1" l="1"/>
  <c r="B64" i="1"/>
  <c r="H64" i="1" s="1"/>
  <c r="A65" i="1"/>
  <c r="F65" i="1" l="1"/>
  <c r="B65" i="1"/>
  <c r="H65" i="1" s="1"/>
  <c r="A66" i="1"/>
  <c r="F66" i="1" l="1"/>
  <c r="B66" i="1"/>
  <c r="H66" i="1" s="1"/>
  <c r="A67" i="1"/>
  <c r="F67" i="1" l="1"/>
  <c r="B67" i="1"/>
  <c r="H67" i="1" s="1"/>
  <c r="A68" i="1"/>
  <c r="F68" i="1" l="1"/>
  <c r="B68" i="1"/>
  <c r="H68" i="1" s="1"/>
  <c r="A69" i="1"/>
  <c r="F69" i="1" l="1"/>
  <c r="B69" i="1"/>
  <c r="H69" i="1" s="1"/>
  <c r="A70" i="1"/>
  <c r="F70" i="1" l="1"/>
  <c r="B70" i="1"/>
  <c r="H70" i="1" s="1"/>
  <c r="A71" i="1"/>
  <c r="F71" i="1" l="1"/>
  <c r="B71" i="1"/>
  <c r="H71" i="1" s="1"/>
  <c r="A72" i="1"/>
  <c r="F72" i="1" l="1"/>
  <c r="B72" i="1"/>
  <c r="H72" i="1" s="1"/>
  <c r="A73" i="1"/>
  <c r="F73" i="1" l="1"/>
  <c r="B73" i="1"/>
  <c r="H73" i="1" s="1"/>
  <c r="A74" i="1"/>
  <c r="F74" i="1" l="1"/>
  <c r="B74" i="1"/>
  <c r="H74" i="1" s="1"/>
  <c r="A75" i="1"/>
  <c r="F75" i="1" l="1"/>
  <c r="B75" i="1"/>
  <c r="H75" i="1" s="1"/>
  <c r="A76" i="1"/>
  <c r="F76" i="1" l="1"/>
  <c r="B76" i="1"/>
  <c r="H76" i="1" s="1"/>
  <c r="A77" i="1"/>
  <c r="F77" i="1" l="1"/>
  <c r="B77" i="1"/>
  <c r="H77" i="1" s="1"/>
  <c r="A78" i="1"/>
  <c r="F78" i="1" l="1"/>
  <c r="B78" i="1"/>
  <c r="H78" i="1" s="1"/>
  <c r="A79" i="1"/>
  <c r="F79" i="1" l="1"/>
  <c r="B79" i="1"/>
  <c r="H79" i="1" s="1"/>
  <c r="A80" i="1"/>
  <c r="F80" i="1" l="1"/>
  <c r="B80" i="1"/>
  <c r="H80" i="1" s="1"/>
  <c r="A81" i="1"/>
  <c r="F81" i="1" l="1"/>
  <c r="B81" i="1"/>
  <c r="H81" i="1" s="1"/>
  <c r="A82" i="1"/>
  <c r="F82" i="1" l="1"/>
  <c r="B82" i="1"/>
  <c r="H82" i="1" s="1"/>
  <c r="A83" i="1"/>
  <c r="F83" i="1" l="1"/>
  <c r="B83" i="1"/>
  <c r="H83" i="1" s="1"/>
  <c r="A84" i="1"/>
  <c r="F84" i="1" l="1"/>
  <c r="B84" i="1"/>
  <c r="H84" i="1" s="1"/>
  <c r="A85" i="1"/>
  <c r="F85" i="1" l="1"/>
  <c r="B85" i="1"/>
  <c r="H85" i="1" s="1"/>
  <c r="A86" i="1"/>
  <c r="F86" i="1" l="1"/>
  <c r="B86" i="1"/>
  <c r="H86" i="1" s="1"/>
  <c r="A87" i="1"/>
  <c r="F87" i="1" l="1"/>
  <c r="B87" i="1"/>
  <c r="H87" i="1" s="1"/>
  <c r="A88" i="1"/>
  <c r="F88" i="1" l="1"/>
  <c r="B88" i="1"/>
  <c r="H88" i="1" s="1"/>
  <c r="A89" i="1"/>
  <c r="F89" i="1" l="1"/>
  <c r="B89" i="1"/>
  <c r="H89" i="1" s="1"/>
  <c r="A90" i="1"/>
  <c r="F90" i="1" l="1"/>
  <c r="B90" i="1"/>
  <c r="D90" i="1" s="1"/>
  <c r="A91" i="1"/>
  <c r="H90" i="1" l="1"/>
  <c r="F91" i="1"/>
  <c r="B91" i="1"/>
  <c r="D91" i="1" s="1"/>
  <c r="A92" i="1"/>
  <c r="H91" i="1" l="1"/>
  <c r="F92" i="1"/>
  <c r="B92" i="1"/>
  <c r="H92" i="1" s="1"/>
  <c r="A93" i="1"/>
  <c r="F93" i="1" l="1"/>
  <c r="B93" i="1"/>
  <c r="D93" i="1" s="1"/>
  <c r="A94" i="1"/>
  <c r="D92" i="1"/>
  <c r="H93" i="1" l="1"/>
  <c r="F94" i="1"/>
  <c r="B94" i="1"/>
  <c r="D94" i="1" s="1"/>
  <c r="A95" i="1"/>
  <c r="H94" i="1" l="1"/>
  <c r="F95" i="1"/>
  <c r="B95" i="1"/>
  <c r="D95" i="1" s="1"/>
  <c r="A96" i="1"/>
  <c r="H95" i="1" l="1"/>
  <c r="F96" i="1"/>
  <c r="B96" i="1"/>
  <c r="H96" i="1" s="1"/>
  <c r="A97" i="1"/>
  <c r="F97" i="1" l="1"/>
  <c r="B97" i="1"/>
  <c r="H97" i="1" s="1"/>
  <c r="A98" i="1"/>
  <c r="D96" i="1"/>
  <c r="F98" i="1" l="1"/>
  <c r="D97" i="1"/>
  <c r="B98" i="1"/>
  <c r="D98" i="1" s="1"/>
  <c r="A99" i="1"/>
  <c r="H98" i="1" l="1"/>
  <c r="F99" i="1"/>
  <c r="B99" i="1"/>
  <c r="D99" i="1" s="1"/>
  <c r="A100" i="1"/>
  <c r="H99" i="1" l="1"/>
  <c r="F100" i="1"/>
  <c r="B100" i="1"/>
  <c r="H100" i="1" s="1"/>
  <c r="A101" i="1"/>
  <c r="F101" i="1" l="1"/>
  <c r="B101" i="1"/>
  <c r="H101" i="1" s="1"/>
  <c r="A102" i="1"/>
  <c r="D100" i="1"/>
  <c r="F102" i="1" l="1"/>
  <c r="D101" i="1"/>
  <c r="B102" i="1"/>
  <c r="H102" i="1" s="1"/>
  <c r="A103" i="1"/>
  <c r="F103" i="1" l="1"/>
  <c r="D102" i="1"/>
  <c r="B103" i="1"/>
  <c r="D103" i="1" s="1"/>
  <c r="A104" i="1"/>
  <c r="H103" i="1" l="1"/>
  <c r="F104" i="1"/>
  <c r="B104" i="1"/>
  <c r="H104" i="1" s="1"/>
  <c r="A105" i="1"/>
  <c r="F105" i="1" l="1"/>
  <c r="B105" i="1"/>
  <c r="H105" i="1" s="1"/>
  <c r="A106" i="1"/>
  <c r="D104" i="1"/>
  <c r="F106" i="1" l="1"/>
  <c r="D105" i="1"/>
  <c r="B106" i="1"/>
  <c r="D106" i="1" s="1"/>
  <c r="A107" i="1"/>
  <c r="H106" i="1" l="1"/>
  <c r="F107" i="1"/>
  <c r="B107" i="1"/>
  <c r="D107" i="1" s="1"/>
  <c r="A108" i="1"/>
  <c r="H107" i="1" l="1"/>
  <c r="F108" i="1"/>
  <c r="B108" i="1"/>
  <c r="H108" i="1" s="1"/>
  <c r="A109" i="1"/>
  <c r="F109" i="1" l="1"/>
  <c r="B109" i="1"/>
  <c r="H109" i="1" s="1"/>
  <c r="A110" i="1"/>
  <c r="D108" i="1"/>
  <c r="F110" i="1" l="1"/>
  <c r="D109" i="1"/>
  <c r="B110" i="1"/>
  <c r="H110" i="1" s="1"/>
  <c r="A111" i="1"/>
  <c r="F111" i="1" l="1"/>
  <c r="D110" i="1"/>
  <c r="B111" i="1"/>
  <c r="D111" i="1" s="1"/>
  <c r="A112" i="1"/>
  <c r="H111" i="1" l="1"/>
  <c r="F112" i="1"/>
  <c r="B112" i="1"/>
  <c r="H112" i="1" s="1"/>
  <c r="A113" i="1"/>
  <c r="F113" i="1" l="1"/>
  <c r="B113" i="1"/>
  <c r="H113" i="1" s="1"/>
  <c r="A114" i="1"/>
  <c r="H114" i="1" s="1"/>
  <c r="D112" i="1"/>
  <c r="E114" i="1" l="1"/>
  <c r="F114" i="1"/>
  <c r="D113" i="1"/>
  <c r="B114" i="1"/>
  <c r="D114" i="1" s="1"/>
  <c r="A115" i="1"/>
  <c r="H115" i="1" s="1"/>
  <c r="E115" i="1" l="1"/>
  <c r="F115" i="1"/>
  <c r="J115" i="1"/>
  <c r="K115" i="1"/>
  <c r="D115" i="1"/>
  <c r="B115" i="1"/>
  <c r="A116" i="1"/>
  <c r="H116" i="1" s="1"/>
  <c r="E116" i="1" l="1"/>
  <c r="F116" i="1"/>
  <c r="J116" i="1"/>
  <c r="K116" i="1"/>
  <c r="D116" i="1"/>
  <c r="B116" i="1"/>
  <c r="A117" i="1"/>
  <c r="H117" i="1" s="1"/>
  <c r="E117" i="1" l="1"/>
  <c r="F117" i="1"/>
  <c r="J117" i="1"/>
  <c r="K117" i="1"/>
  <c r="B117" i="1"/>
  <c r="D117" i="1"/>
  <c r="A118" i="1"/>
  <c r="H118" i="1" s="1"/>
  <c r="E118" i="1" l="1"/>
  <c r="F118" i="1"/>
  <c r="J118" i="1"/>
  <c r="K118" i="1"/>
  <c r="D118" i="1"/>
  <c r="B118" i="1"/>
  <c r="A119" i="1"/>
  <c r="H119" i="1" s="1"/>
  <c r="E119" i="1" l="1"/>
  <c r="F119" i="1"/>
  <c r="J119" i="1"/>
  <c r="K119" i="1"/>
  <c r="D119" i="1"/>
  <c r="B119" i="1"/>
  <c r="A120" i="1"/>
  <c r="H120" i="1" s="1"/>
  <c r="E120" i="1" l="1"/>
  <c r="F120" i="1"/>
  <c r="J120" i="1"/>
  <c r="K120" i="1"/>
  <c r="D120" i="1"/>
  <c r="B120" i="1"/>
  <c r="A121" i="1"/>
  <c r="H121" i="1" s="1"/>
  <c r="E121" i="1" l="1"/>
  <c r="F121" i="1"/>
  <c r="J121" i="1"/>
  <c r="K121" i="1"/>
  <c r="B121" i="1"/>
  <c r="D121" i="1"/>
  <c r="A122" i="1"/>
  <c r="H122" i="1" s="1"/>
  <c r="A123" i="1"/>
  <c r="H123" i="1" s="1"/>
  <c r="E122" i="1" l="1"/>
  <c r="E123" i="1"/>
  <c r="F122" i="1"/>
  <c r="F123" i="1"/>
  <c r="J123" i="1"/>
  <c r="J122" i="1"/>
  <c r="K123" i="1"/>
  <c r="K122" i="1"/>
  <c r="D123" i="1"/>
  <c r="B123" i="1"/>
  <c r="B122" i="1"/>
  <c r="D122" i="1"/>
  <c r="E12" i="1" l="1"/>
  <c r="E130" i="1" s="1"/>
  <c r="G130" i="1" s="1"/>
  <c r="J130" i="1" s="1"/>
  <c r="E99" i="1" l="1"/>
  <c r="E100" i="1"/>
  <c r="E101" i="1"/>
  <c r="E102" i="1"/>
  <c r="E103" i="1"/>
  <c r="E104" i="1"/>
  <c r="E105" i="1"/>
  <c r="E106" i="1"/>
  <c r="E107" i="1"/>
  <c r="E108" i="1"/>
  <c r="E109" i="1"/>
  <c r="E110" i="1"/>
  <c r="E111" i="1"/>
  <c r="E112" i="1"/>
  <c r="E113" i="1"/>
  <c r="E89" i="1"/>
  <c r="E90" i="1"/>
  <c r="E91" i="1"/>
  <c r="E92" i="1"/>
  <c r="E93" i="1"/>
  <c r="E94" i="1"/>
  <c r="E95" i="1"/>
  <c r="E96" i="1"/>
  <c r="E97" i="1"/>
  <c r="E98" i="1"/>
  <c r="D50" i="1"/>
  <c r="D51" i="1" s="1"/>
  <c r="D52" i="1" s="1"/>
  <c r="D53" i="1" s="1"/>
  <c r="D54" i="1" s="1"/>
  <c r="D55" i="1" s="1"/>
  <c r="D56" i="1" s="1"/>
  <c r="D57" i="1" s="1"/>
  <c r="D58" i="1" s="1"/>
  <c r="D59" i="1" s="1"/>
  <c r="D60" i="1" s="1"/>
  <c r="D61" i="1" s="1"/>
  <c r="D62" i="1" s="1"/>
  <c r="D63" i="1" s="1"/>
  <c r="D64" i="1" s="1"/>
  <c r="D65" i="1" s="1"/>
  <c r="D66" i="1" s="1"/>
  <c r="D67" i="1" s="1"/>
  <c r="D68" i="1" s="1"/>
  <c r="D69" i="1" s="1"/>
  <c r="D70" i="1" s="1"/>
  <c r="D71" i="1" s="1"/>
  <c r="D72" i="1" s="1"/>
  <c r="D73" i="1" s="1"/>
  <c r="D74" i="1" s="1"/>
  <c r="D75" i="1" s="1"/>
  <c r="D76" i="1" s="1"/>
  <c r="D77" i="1" s="1"/>
  <c r="D78" i="1" s="1"/>
  <c r="D79" i="1" s="1"/>
  <c r="D80" i="1" s="1"/>
  <c r="D81" i="1" s="1"/>
  <c r="D82" i="1" s="1"/>
  <c r="D83" i="1" s="1"/>
  <c r="D84" i="1" s="1"/>
  <c r="D85" i="1" s="1"/>
  <c r="D86" i="1" s="1"/>
  <c r="D87" i="1" s="1"/>
  <c r="D88" i="1" s="1"/>
  <c r="D89" i="1" s="1"/>
  <c r="K130" i="1" l="1"/>
  <c r="C49" i="1"/>
  <c r="A131" i="1" l="1"/>
  <c r="G90" i="1"/>
  <c r="B131" i="1" l="1"/>
  <c r="I131" i="1" s="1"/>
  <c r="F131" i="1"/>
  <c r="G91" i="1"/>
  <c r="D131" i="1" l="1"/>
  <c r="E131" i="1" s="1"/>
  <c r="G131" i="1" s="1"/>
  <c r="C131" i="1"/>
  <c r="H131" i="1"/>
  <c r="G92" i="1"/>
  <c r="J131" i="1" l="1"/>
  <c r="K131" i="1" s="1"/>
  <c r="A132" i="1" s="1"/>
  <c r="G93" i="1"/>
  <c r="F132" i="1" l="1"/>
  <c r="B132" i="1"/>
  <c r="C132" i="1" s="1"/>
  <c r="G94" i="1"/>
  <c r="I132" i="1" l="1"/>
  <c r="D132" i="1"/>
  <c r="E132" i="1" s="1"/>
  <c r="G132" i="1" s="1"/>
  <c r="H132" i="1"/>
  <c r="G95" i="1"/>
  <c r="J132" i="1" l="1"/>
  <c r="K132" i="1" s="1"/>
  <c r="G96" i="1"/>
  <c r="A133" i="1" l="1"/>
  <c r="G97" i="1"/>
  <c r="B133" i="1" l="1"/>
  <c r="C133" i="1" s="1"/>
  <c r="F133" i="1"/>
  <c r="G98" i="1"/>
  <c r="I133" i="1" l="1"/>
  <c r="D133" i="1"/>
  <c r="E133" i="1" s="1"/>
  <c r="G133" i="1" s="1"/>
  <c r="H133" i="1"/>
  <c r="G99" i="1"/>
  <c r="J133" i="1" l="1"/>
  <c r="K133" i="1" s="1"/>
  <c r="A134" i="1" s="1"/>
  <c r="G100" i="1"/>
  <c r="B134" i="1" l="1"/>
  <c r="D134" i="1" s="1"/>
  <c r="F134" i="1"/>
  <c r="G101" i="1"/>
  <c r="C134" i="1" l="1"/>
  <c r="E134" i="1"/>
  <c r="G134" i="1" s="1"/>
  <c r="I134" i="1"/>
  <c r="H134" i="1"/>
  <c r="G102" i="1"/>
  <c r="J134" i="1" l="1"/>
  <c r="K134" i="1" s="1"/>
  <c r="A135" i="1" s="1"/>
  <c r="G103" i="1"/>
  <c r="B135" i="1" l="1"/>
  <c r="I135" i="1" s="1"/>
  <c r="F135" i="1"/>
  <c r="C103" i="1"/>
  <c r="G104" i="1"/>
  <c r="D135" i="1" l="1"/>
  <c r="E135" i="1" s="1"/>
  <c r="G135" i="1" s="1"/>
  <c r="C135" i="1"/>
  <c r="H135" i="1"/>
  <c r="I103" i="1"/>
  <c r="C104" i="1"/>
  <c r="G105" i="1"/>
  <c r="J135" i="1" l="1"/>
  <c r="K135" i="1" s="1"/>
  <c r="A136" i="1" s="1"/>
  <c r="I104" i="1"/>
  <c r="C105" i="1"/>
  <c r="G106" i="1"/>
  <c r="F136" i="1" l="1"/>
  <c r="B136" i="1"/>
  <c r="H136" i="1" s="1"/>
  <c r="C106" i="1"/>
  <c r="I105" i="1"/>
  <c r="G107" i="1"/>
  <c r="I136" i="1" l="1"/>
  <c r="C136" i="1"/>
  <c r="D136" i="1"/>
  <c r="E136" i="1" s="1"/>
  <c r="G136" i="1" s="1"/>
  <c r="I106" i="1"/>
  <c r="C107" i="1"/>
  <c r="G108" i="1"/>
  <c r="J136" i="1" l="1"/>
  <c r="K136" i="1" s="1"/>
  <c r="A137" i="1" s="1"/>
  <c r="I107" i="1"/>
  <c r="C108" i="1"/>
  <c r="G109" i="1"/>
  <c r="F137" i="1" l="1"/>
  <c r="B137" i="1"/>
  <c r="C137" i="1" s="1"/>
  <c r="C109" i="1"/>
  <c r="I108" i="1"/>
  <c r="G110" i="1"/>
  <c r="D137" i="1" l="1"/>
  <c r="E137" i="1" s="1"/>
  <c r="G137" i="1" s="1"/>
  <c r="H137" i="1"/>
  <c r="I137" i="1"/>
  <c r="I109" i="1"/>
  <c r="C110" i="1"/>
  <c r="G111" i="1"/>
  <c r="J137" i="1" l="1"/>
  <c r="K137" i="1" s="1"/>
  <c r="A138" i="1" s="1"/>
  <c r="I110" i="1"/>
  <c r="C111" i="1"/>
  <c r="I111" i="1"/>
  <c r="G112" i="1"/>
  <c r="B138" i="1" l="1"/>
  <c r="C138" i="1" s="1"/>
  <c r="F138" i="1"/>
  <c r="C112" i="1"/>
  <c r="I112" i="1"/>
  <c r="G113" i="1"/>
  <c r="D138" i="1" l="1"/>
  <c r="E138" i="1" s="1"/>
  <c r="G138" i="1" s="1"/>
  <c r="I138" i="1"/>
  <c r="H138" i="1"/>
  <c r="C113" i="1"/>
  <c r="I113" i="1"/>
  <c r="G114" i="1"/>
  <c r="J138" i="1" l="1"/>
  <c r="K138" i="1" s="1"/>
  <c r="A139" i="1" s="1"/>
  <c r="F139" i="1" s="1"/>
  <c r="C114" i="1"/>
  <c r="I114" i="1"/>
  <c r="G115" i="1"/>
  <c r="B139" i="1" l="1"/>
  <c r="H139" i="1" s="1"/>
  <c r="C115" i="1"/>
  <c r="I115" i="1"/>
  <c r="G116" i="1"/>
  <c r="I116" i="1"/>
  <c r="I139" i="1" l="1"/>
  <c r="D139" i="1"/>
  <c r="E139" i="1" s="1"/>
  <c r="G139" i="1" s="1"/>
  <c r="C139" i="1"/>
  <c r="C116" i="1"/>
  <c r="G117" i="1"/>
  <c r="I117" i="1"/>
  <c r="J139" i="1" l="1"/>
  <c r="K139" i="1" s="1"/>
  <c r="A140" i="1" s="1"/>
  <c r="B140" i="1" s="1"/>
  <c r="I140" i="1" s="1"/>
  <c r="C117" i="1"/>
  <c r="G118" i="1"/>
  <c r="I118" i="1"/>
  <c r="D140" i="1" l="1"/>
  <c r="E140" i="1" s="1"/>
  <c r="G140" i="1" s="1"/>
  <c r="F140" i="1"/>
  <c r="C140" i="1"/>
  <c r="H140" i="1"/>
  <c r="C118" i="1"/>
  <c r="G119" i="1"/>
  <c r="C119" i="1"/>
  <c r="J140" i="1" l="1"/>
  <c r="K140" i="1" s="1"/>
  <c r="A141" i="1" s="1"/>
  <c r="I119" i="1"/>
  <c r="G120" i="1"/>
  <c r="C120" i="1"/>
  <c r="I120" i="1"/>
  <c r="B141" i="1" l="1"/>
  <c r="H141" i="1" s="1"/>
  <c r="F141" i="1"/>
  <c r="G121" i="1"/>
  <c r="I141" i="1" l="1"/>
  <c r="D141" i="1"/>
  <c r="E141" i="1" s="1"/>
  <c r="G141" i="1" s="1"/>
  <c r="C141" i="1"/>
  <c r="C121" i="1"/>
  <c r="I121" i="1"/>
  <c r="G123" i="1"/>
  <c r="G122" i="1"/>
  <c r="I123" i="1"/>
  <c r="J141" i="1" l="1"/>
  <c r="K141" i="1" s="1"/>
  <c r="A142" i="1" s="1"/>
  <c r="I122" i="1"/>
  <c r="C122" i="1"/>
  <c r="C123" i="1"/>
  <c r="F142" i="1" l="1"/>
  <c r="B142" i="1"/>
  <c r="H142" i="1" s="1"/>
  <c r="I50" i="1"/>
  <c r="C50" i="1"/>
  <c r="I142" i="1" l="1"/>
  <c r="D142" i="1"/>
  <c r="E142" i="1" s="1"/>
  <c r="G142" i="1" s="1"/>
  <c r="C142" i="1"/>
  <c r="I52" i="1"/>
  <c r="I51" i="1"/>
  <c r="C52" i="1"/>
  <c r="C51" i="1"/>
  <c r="J142" i="1" l="1"/>
  <c r="K142" i="1" s="1"/>
  <c r="A143" i="1" s="1"/>
  <c r="I53" i="1"/>
  <c r="C53" i="1"/>
  <c r="B143" i="1" l="1"/>
  <c r="I143" i="1" s="1"/>
  <c r="F143" i="1"/>
  <c r="I54" i="1"/>
  <c r="C54" i="1"/>
  <c r="D143" i="1" l="1"/>
  <c r="E143" i="1" s="1"/>
  <c r="G143" i="1" s="1"/>
  <c r="C143" i="1"/>
  <c r="H143" i="1"/>
  <c r="I55" i="1"/>
  <c r="C55" i="1"/>
  <c r="J143" i="1" l="1"/>
  <c r="K143" i="1" s="1"/>
  <c r="A144" i="1" s="1"/>
  <c r="I56" i="1"/>
  <c r="C56" i="1"/>
  <c r="F144" i="1" l="1"/>
  <c r="B144" i="1"/>
  <c r="H144" i="1" s="1"/>
  <c r="I57" i="1"/>
  <c r="C57" i="1"/>
  <c r="I144" i="1" l="1"/>
  <c r="D144" i="1"/>
  <c r="E144" i="1" s="1"/>
  <c r="G144" i="1" s="1"/>
  <c r="C144" i="1"/>
  <c r="I58" i="1"/>
  <c r="C58" i="1"/>
  <c r="J144" i="1" l="1"/>
  <c r="K144" i="1" s="1"/>
  <c r="A145" i="1" s="1"/>
  <c r="I59" i="1"/>
  <c r="C59" i="1"/>
  <c r="F145" i="1" l="1"/>
  <c r="B145" i="1"/>
  <c r="I145" i="1" s="1"/>
  <c r="I60" i="1"/>
  <c r="C60" i="1"/>
  <c r="H145" i="1" l="1"/>
  <c r="C145" i="1"/>
  <c r="D145" i="1"/>
  <c r="E145" i="1" s="1"/>
  <c r="G145" i="1" s="1"/>
  <c r="I61" i="1"/>
  <c r="C61" i="1"/>
  <c r="J145" i="1" l="1"/>
  <c r="K145" i="1" s="1"/>
  <c r="A146" i="1" s="1"/>
  <c r="I62" i="1"/>
  <c r="C62" i="1"/>
  <c r="F146" i="1" l="1"/>
  <c r="B146" i="1"/>
  <c r="H146" i="1" s="1"/>
  <c r="I63" i="1"/>
  <c r="C63" i="1"/>
  <c r="I146" i="1" l="1"/>
  <c r="C146" i="1"/>
  <c r="D146" i="1"/>
  <c r="E146" i="1" s="1"/>
  <c r="G146" i="1" s="1"/>
  <c r="I64" i="1"/>
  <c r="C64" i="1"/>
  <c r="J146" i="1" l="1"/>
  <c r="K146" i="1" s="1"/>
  <c r="A147" i="1" s="1"/>
  <c r="I65" i="1"/>
  <c r="C65" i="1"/>
  <c r="F147" i="1" l="1"/>
  <c r="B147" i="1"/>
  <c r="D147" i="1" s="1"/>
  <c r="I66" i="1"/>
  <c r="C66" i="1"/>
  <c r="I147" i="1" l="1"/>
  <c r="H147" i="1"/>
  <c r="C147" i="1"/>
  <c r="E147" i="1"/>
  <c r="G147" i="1" s="1"/>
  <c r="I67" i="1"/>
  <c r="C67" i="1"/>
  <c r="J147" i="1" l="1"/>
  <c r="K147" i="1" s="1"/>
  <c r="A148" i="1" s="1"/>
  <c r="I68" i="1"/>
  <c r="C68" i="1"/>
  <c r="F148" i="1" l="1"/>
  <c r="B148" i="1"/>
  <c r="C148" i="1" s="1"/>
  <c r="I69" i="1"/>
  <c r="C69" i="1"/>
  <c r="I148" i="1" l="1"/>
  <c r="H148" i="1"/>
  <c r="D148" i="1"/>
  <c r="E148" i="1" s="1"/>
  <c r="I70" i="1"/>
  <c r="C70" i="1"/>
  <c r="G148" i="1" l="1"/>
  <c r="I71" i="1"/>
  <c r="C71" i="1"/>
  <c r="J148" i="1" l="1"/>
  <c r="K148" i="1" s="1"/>
  <c r="A149" i="1" s="1"/>
  <c r="I72" i="1"/>
  <c r="C72" i="1"/>
  <c r="B149" i="1" l="1"/>
  <c r="H149" i="1" s="1"/>
  <c r="F149" i="1"/>
  <c r="I73" i="1"/>
  <c r="C73" i="1"/>
  <c r="C149" i="1" l="1"/>
  <c r="D149" i="1"/>
  <c r="E149" i="1" s="1"/>
  <c r="G149" i="1" s="1"/>
  <c r="I149" i="1"/>
  <c r="I74" i="1"/>
  <c r="C74" i="1"/>
  <c r="J149" i="1" l="1"/>
  <c r="K149" i="1" s="1"/>
  <c r="A150" i="1" s="1"/>
  <c r="B150" i="1" s="1"/>
  <c r="I150" i="1" s="1"/>
  <c r="I75" i="1"/>
  <c r="C75" i="1"/>
  <c r="F150" i="1" l="1"/>
  <c r="D150" i="1"/>
  <c r="E150" i="1" s="1"/>
  <c r="G150" i="1" s="1"/>
  <c r="C150" i="1"/>
  <c r="H150" i="1"/>
  <c r="C76" i="1"/>
  <c r="J150" i="1" l="1"/>
  <c r="K150" i="1" s="1"/>
  <c r="A151" i="1" s="1"/>
  <c r="I76" i="1"/>
  <c r="I77" i="1"/>
  <c r="C77" i="1"/>
  <c r="B151" i="1" l="1"/>
  <c r="I151" i="1" s="1"/>
  <c r="F151" i="1"/>
  <c r="I78" i="1"/>
  <c r="C78" i="1"/>
  <c r="D151" i="1" l="1"/>
  <c r="E151" i="1" s="1"/>
  <c r="G151" i="1" s="1"/>
  <c r="C151" i="1"/>
  <c r="H151" i="1"/>
  <c r="C79" i="1"/>
  <c r="J151" i="1" l="1"/>
  <c r="K151" i="1" s="1"/>
  <c r="A152" i="1" s="1"/>
  <c r="B152" i="1" s="1"/>
  <c r="D152" i="1" s="1"/>
  <c r="I79" i="1"/>
  <c r="C80" i="1"/>
  <c r="F152" i="1" l="1"/>
  <c r="E152" i="1"/>
  <c r="G152" i="1" s="1"/>
  <c r="C152" i="1"/>
  <c r="I152" i="1"/>
  <c r="H152" i="1"/>
  <c r="I80" i="1"/>
  <c r="C81" i="1"/>
  <c r="J152" i="1" l="1"/>
  <c r="K152" i="1" s="1"/>
  <c r="A153" i="1" s="1"/>
  <c r="I81" i="1"/>
  <c r="C82" i="1"/>
  <c r="B153" i="1" l="1"/>
  <c r="I153" i="1" s="1"/>
  <c r="F153" i="1"/>
  <c r="I82" i="1"/>
  <c r="C83" i="1"/>
  <c r="D153" i="1" l="1"/>
  <c r="E153" i="1" s="1"/>
  <c r="G153" i="1" s="1"/>
  <c r="C153" i="1"/>
  <c r="H153" i="1"/>
  <c r="I83" i="1"/>
  <c r="C84" i="1"/>
  <c r="J153" i="1" l="1"/>
  <c r="K153" i="1" s="1"/>
  <c r="A154" i="1" s="1"/>
  <c r="B154" i="1" s="1"/>
  <c r="C154" i="1" s="1"/>
  <c r="I84" i="1"/>
  <c r="C85" i="1"/>
  <c r="D154" i="1" l="1"/>
  <c r="E154" i="1" s="1"/>
  <c r="G154" i="1" s="1"/>
  <c r="F154" i="1"/>
  <c r="I154" i="1"/>
  <c r="H154" i="1"/>
  <c r="I85" i="1"/>
  <c r="C86" i="1"/>
  <c r="J154" i="1" l="1"/>
  <c r="K154" i="1" s="1"/>
  <c r="A155" i="1" s="1"/>
  <c r="I86" i="1"/>
  <c r="C87" i="1"/>
  <c r="B155" i="1" l="1"/>
  <c r="H155" i="1" s="1"/>
  <c r="F155" i="1"/>
  <c r="I87" i="1"/>
  <c r="I88" i="1"/>
  <c r="C88" i="1"/>
  <c r="I155" i="1" l="1"/>
  <c r="D155" i="1"/>
  <c r="E155" i="1" s="1"/>
  <c r="G155" i="1" s="1"/>
  <c r="C155" i="1"/>
  <c r="C89" i="1"/>
  <c r="J155" i="1" l="1"/>
  <c r="K155" i="1" s="1"/>
  <c r="A156" i="1" s="1"/>
  <c r="I89" i="1"/>
  <c r="C90" i="1"/>
  <c r="B156" i="1" l="1"/>
  <c r="D156" i="1" s="1"/>
  <c r="F156" i="1"/>
  <c r="I90" i="1"/>
  <c r="C91" i="1"/>
  <c r="I156" i="1" l="1"/>
  <c r="C156" i="1"/>
  <c r="H156" i="1"/>
  <c r="E156" i="1"/>
  <c r="G156" i="1" s="1"/>
  <c r="I91" i="1"/>
  <c r="C92" i="1"/>
  <c r="J156" i="1" l="1"/>
  <c r="K156" i="1" s="1"/>
  <c r="A157" i="1" s="1"/>
  <c r="I92" i="1"/>
  <c r="C93" i="1"/>
  <c r="B157" i="1" l="1"/>
  <c r="C157" i="1" s="1"/>
  <c r="F157" i="1"/>
  <c r="I93" i="1"/>
  <c r="C94" i="1"/>
  <c r="D157" i="1" l="1"/>
  <c r="E157" i="1" s="1"/>
  <c r="G157" i="1" s="1"/>
  <c r="I157" i="1"/>
  <c r="H157" i="1"/>
  <c r="I94" i="1"/>
  <c r="C95" i="1"/>
  <c r="J157" i="1" l="1"/>
  <c r="K157" i="1" s="1"/>
  <c r="A158" i="1" s="1"/>
  <c r="I95" i="1"/>
  <c r="C96" i="1"/>
  <c r="B158" i="1" l="1"/>
  <c r="H158" i="1" s="1"/>
  <c r="F158" i="1"/>
  <c r="I96" i="1"/>
  <c r="C97" i="1"/>
  <c r="I158" i="1" l="1"/>
  <c r="C158" i="1"/>
  <c r="D158" i="1"/>
  <c r="E158" i="1" s="1"/>
  <c r="G158" i="1" s="1"/>
  <c r="I97" i="1"/>
  <c r="C98" i="1"/>
  <c r="J158" i="1" l="1"/>
  <c r="K158" i="1" s="1"/>
  <c r="A159" i="1" s="1"/>
  <c r="I98" i="1"/>
  <c r="C99" i="1"/>
  <c r="B159" i="1" l="1"/>
  <c r="D159" i="1" s="1"/>
  <c r="F159" i="1"/>
  <c r="I99" i="1"/>
  <c r="C100" i="1"/>
  <c r="H159" i="1" l="1"/>
  <c r="C159" i="1"/>
  <c r="E159" i="1"/>
  <c r="G159" i="1" s="1"/>
  <c r="I159" i="1"/>
  <c r="I100" i="1"/>
  <c r="C101" i="1"/>
  <c r="J159" i="1" l="1"/>
  <c r="K159" i="1" s="1"/>
  <c r="A160" i="1" s="1"/>
  <c r="I101" i="1"/>
  <c r="C102" i="1"/>
  <c r="F160" i="1" l="1"/>
  <c r="B160" i="1"/>
  <c r="I160" i="1" s="1"/>
  <c r="I102" i="1"/>
  <c r="E28" i="1"/>
  <c r="K16" i="1"/>
  <c r="H160" i="1" l="1"/>
  <c r="C160" i="1"/>
  <c r="D160" i="1"/>
  <c r="E160" i="1" s="1"/>
  <c r="G160" i="1" s="1"/>
  <c r="K28" i="1"/>
  <c r="K27" i="1" s="1"/>
  <c r="G89" i="1"/>
  <c r="J160" i="1" l="1"/>
  <c r="K160" i="1" s="1"/>
  <c r="A161" i="1" s="1"/>
  <c r="K29" i="1"/>
  <c r="K30" i="1"/>
  <c r="K31" i="1" s="1"/>
  <c r="B161" i="1" l="1"/>
  <c r="H161" i="1" s="1"/>
  <c r="F161" i="1"/>
  <c r="A46" i="1"/>
  <c r="E41" i="1"/>
  <c r="E54" i="1"/>
  <c r="G54" i="1" s="1"/>
  <c r="E74" i="1"/>
  <c r="G74" i="1" s="1"/>
  <c r="E78" i="1"/>
  <c r="G78" i="1" s="1"/>
  <c r="E82" i="1"/>
  <c r="G82" i="1" s="1"/>
  <c r="E86" i="1"/>
  <c r="G86" i="1" s="1"/>
  <c r="E75" i="1"/>
  <c r="G75" i="1" s="1"/>
  <c r="E79" i="1"/>
  <c r="G79" i="1" s="1"/>
  <c r="E83" i="1"/>
  <c r="G83" i="1" s="1"/>
  <c r="E87" i="1"/>
  <c r="G87" i="1" s="1"/>
  <c r="E77" i="1"/>
  <c r="G77" i="1" s="1"/>
  <c r="E81" i="1"/>
  <c r="G81" i="1" s="1"/>
  <c r="E76" i="1"/>
  <c r="G76" i="1" s="1"/>
  <c r="E80" i="1"/>
  <c r="G80" i="1" s="1"/>
  <c r="E84" i="1"/>
  <c r="G84" i="1" s="1"/>
  <c r="E88" i="1"/>
  <c r="G88" i="1" s="1"/>
  <c r="E85" i="1"/>
  <c r="G85" i="1" s="1"/>
  <c r="E64" i="1"/>
  <c r="G64" i="1" s="1"/>
  <c r="E57" i="1"/>
  <c r="G57" i="1" s="1"/>
  <c r="E69" i="1"/>
  <c r="G69" i="1" s="1"/>
  <c r="E65" i="1"/>
  <c r="G65" i="1" s="1"/>
  <c r="E73" i="1"/>
  <c r="G73" i="1" s="1"/>
  <c r="E53" i="1"/>
  <c r="G53" i="1" s="1"/>
  <c r="E60" i="1"/>
  <c r="G60" i="1" s="1"/>
  <c r="E71" i="1"/>
  <c r="G71" i="1" s="1"/>
  <c r="E72" i="1"/>
  <c r="G72" i="1" s="1"/>
  <c r="E63" i="1"/>
  <c r="G63" i="1" s="1"/>
  <c r="E56" i="1"/>
  <c r="G56" i="1" s="1"/>
  <c r="E59" i="1"/>
  <c r="G59" i="1" s="1"/>
  <c r="E61" i="1"/>
  <c r="G61" i="1" s="1"/>
  <c r="E68" i="1"/>
  <c r="G68" i="1" s="1"/>
  <c r="E52" i="1"/>
  <c r="G52" i="1" s="1"/>
  <c r="E55" i="1"/>
  <c r="G55" i="1" s="1"/>
  <c r="E67" i="1"/>
  <c r="G67" i="1" s="1"/>
  <c r="E49" i="1"/>
  <c r="G49" i="1" s="1"/>
  <c r="E62" i="1"/>
  <c r="G62" i="1" s="1"/>
  <c r="E66" i="1"/>
  <c r="G66" i="1" s="1"/>
  <c r="E51" i="1"/>
  <c r="G51" i="1" s="1"/>
  <c r="E50" i="1"/>
  <c r="G50" i="1" s="1"/>
  <c r="E58" i="1"/>
  <c r="G58" i="1" s="1"/>
  <c r="E70" i="1"/>
  <c r="G70" i="1" s="1"/>
  <c r="I161" i="1" l="1"/>
  <c r="C161" i="1"/>
  <c r="D161" i="1"/>
  <c r="E161" i="1" s="1"/>
  <c r="G161" i="1" s="1"/>
  <c r="J49" i="1"/>
  <c r="K49" i="1" s="1"/>
  <c r="J50" i="1" s="1"/>
  <c r="K50" i="1" s="1"/>
  <c r="J51" i="1" s="1"/>
  <c r="K51" i="1" s="1"/>
  <c r="J52" i="1" s="1"/>
  <c r="K52" i="1" s="1"/>
  <c r="J161" i="1" l="1"/>
  <c r="K161" i="1" s="1"/>
  <c r="A162" i="1" s="1"/>
  <c r="J53" i="1"/>
  <c r="K53" i="1" s="1"/>
  <c r="B162" i="1" l="1"/>
  <c r="I162" i="1" s="1"/>
  <c r="F162" i="1"/>
  <c r="J54" i="1"/>
  <c r="K54" i="1" s="1"/>
  <c r="D162" i="1" l="1"/>
  <c r="E162" i="1" s="1"/>
  <c r="G162" i="1" s="1"/>
  <c r="H162" i="1"/>
  <c r="C162" i="1"/>
  <c r="J55" i="1"/>
  <c r="K55" i="1" s="1"/>
  <c r="J162" i="1" l="1"/>
  <c r="K162" i="1" s="1"/>
  <c r="A163" i="1" s="1"/>
  <c r="J56" i="1"/>
  <c r="K56" i="1" s="1"/>
  <c r="B163" i="1" l="1"/>
  <c r="D163" i="1" s="1"/>
  <c r="F163" i="1"/>
  <c r="J57" i="1"/>
  <c r="K57" i="1" s="1"/>
  <c r="I163" i="1" l="1"/>
  <c r="C163" i="1"/>
  <c r="E163" i="1"/>
  <c r="G163" i="1" s="1"/>
  <c r="H163" i="1"/>
  <c r="J58" i="1"/>
  <c r="K58" i="1" s="1"/>
  <c r="J163" i="1" l="1"/>
  <c r="K163" i="1" s="1"/>
  <c r="A164" i="1" s="1"/>
  <c r="J59" i="1"/>
  <c r="K59" i="1" s="1"/>
  <c r="B164" i="1" l="1"/>
  <c r="C164" i="1" s="1"/>
  <c r="F164" i="1"/>
  <c r="J60" i="1"/>
  <c r="K60" i="1" s="1"/>
  <c r="I164" i="1" l="1"/>
  <c r="D164" i="1"/>
  <c r="E164" i="1" s="1"/>
  <c r="G164" i="1" s="1"/>
  <c r="H164" i="1"/>
  <c r="J61" i="1"/>
  <c r="K61" i="1" s="1"/>
  <c r="J164" i="1" l="1"/>
  <c r="K164" i="1" s="1"/>
  <c r="A165" i="1" s="1"/>
  <c r="B165" i="1" s="1"/>
  <c r="C165" i="1" s="1"/>
  <c r="J62" i="1"/>
  <c r="K62" i="1" s="1"/>
  <c r="F165" i="1" l="1"/>
  <c r="D165" i="1"/>
  <c r="E165" i="1" s="1"/>
  <c r="G165" i="1" s="1"/>
  <c r="I165" i="1"/>
  <c r="H165" i="1"/>
  <c r="J63" i="1"/>
  <c r="K63" i="1" s="1"/>
  <c r="J165" i="1" l="1"/>
  <c r="K165" i="1" s="1"/>
  <c r="A166" i="1" s="1"/>
  <c r="J64" i="1"/>
  <c r="K64" i="1" s="1"/>
  <c r="B166" i="1" l="1"/>
  <c r="D166" i="1" s="1"/>
  <c r="F166" i="1"/>
  <c r="J65" i="1"/>
  <c r="K65" i="1" s="1"/>
  <c r="C166" i="1" l="1"/>
  <c r="E166" i="1"/>
  <c r="G166" i="1" s="1"/>
  <c r="H166" i="1"/>
  <c r="I166" i="1"/>
  <c r="J66" i="1"/>
  <c r="K66" i="1" s="1"/>
  <c r="J166" i="1" l="1"/>
  <c r="K166" i="1" s="1"/>
  <c r="A167" i="1" s="1"/>
  <c r="J67" i="1"/>
  <c r="K67" i="1" s="1"/>
  <c r="B167" i="1" l="1"/>
  <c r="H167" i="1" s="1"/>
  <c r="F167" i="1"/>
  <c r="J68" i="1"/>
  <c r="K68" i="1" s="1"/>
  <c r="I167" i="1" l="1"/>
  <c r="C167" i="1"/>
  <c r="D167" i="1"/>
  <c r="E167" i="1" s="1"/>
  <c r="G167" i="1" s="1"/>
  <c r="J69" i="1"/>
  <c r="K69" i="1" s="1"/>
  <c r="J167" i="1" l="1"/>
  <c r="K167" i="1" s="1"/>
  <c r="A168" i="1" s="1"/>
  <c r="J70" i="1"/>
  <c r="K70" i="1" s="1"/>
  <c r="B168" i="1" l="1"/>
  <c r="C168" i="1" s="1"/>
  <c r="F168" i="1"/>
  <c r="J71" i="1"/>
  <c r="K71" i="1" s="1"/>
  <c r="D168" i="1" l="1"/>
  <c r="E168" i="1" s="1"/>
  <c r="G168" i="1" s="1"/>
  <c r="H168" i="1"/>
  <c r="I168" i="1"/>
  <c r="J72" i="1"/>
  <c r="K72" i="1" s="1"/>
  <c r="J168" i="1" l="1"/>
  <c r="K168" i="1" s="1"/>
  <c r="A169" i="1" s="1"/>
  <c r="J73" i="1"/>
  <c r="K73" i="1" s="1"/>
  <c r="B169" i="1" l="1"/>
  <c r="C169" i="1" s="1"/>
  <c r="F169" i="1"/>
  <c r="J74" i="1"/>
  <c r="K74" i="1" s="1"/>
  <c r="D169" i="1" l="1"/>
  <c r="E169" i="1" s="1"/>
  <c r="G169" i="1" s="1"/>
  <c r="I169" i="1"/>
  <c r="H169" i="1"/>
  <c r="J75" i="1"/>
  <c r="K75" i="1" s="1"/>
  <c r="J169" i="1" l="1"/>
  <c r="K169" i="1" s="1"/>
  <c r="A170" i="1" s="1"/>
  <c r="J76" i="1"/>
  <c r="K76" i="1" s="1"/>
  <c r="B170" i="1" l="1"/>
  <c r="H170" i="1" s="1"/>
  <c r="F170" i="1"/>
  <c r="G170" i="1"/>
  <c r="J77" i="1"/>
  <c r="K77" i="1" s="1"/>
  <c r="E170" i="1" l="1"/>
  <c r="C170" i="1"/>
  <c r="D170" i="1"/>
  <c r="I170" i="1" s="1"/>
  <c r="J78" i="1"/>
  <c r="K78" i="1" s="1"/>
  <c r="J170" i="1" l="1"/>
  <c r="K170" i="1" s="1"/>
  <c r="A171" i="1" s="1"/>
  <c r="J79" i="1"/>
  <c r="K79" i="1" s="1"/>
  <c r="B171" i="1" l="1"/>
  <c r="H171" i="1" s="1"/>
  <c r="F171" i="1"/>
  <c r="G171" i="1"/>
  <c r="J80" i="1"/>
  <c r="K80" i="1" s="1"/>
  <c r="C171" i="1" l="1"/>
  <c r="D171" i="1"/>
  <c r="I171" i="1" s="1"/>
  <c r="E171" i="1"/>
  <c r="J81" i="1"/>
  <c r="K81" i="1" s="1"/>
  <c r="J171" i="1" l="1"/>
  <c r="K171" i="1" s="1"/>
  <c r="A172" i="1" s="1"/>
  <c r="B172" i="1" s="1"/>
  <c r="J82" i="1"/>
  <c r="K82" i="1" s="1"/>
  <c r="G172" i="1" l="1"/>
  <c r="F172" i="1"/>
  <c r="C172" i="1"/>
  <c r="E172" i="1"/>
  <c r="D172" i="1"/>
  <c r="H172" i="1"/>
  <c r="I172" i="1" s="1"/>
  <c r="J83" i="1"/>
  <c r="K83" i="1" s="1"/>
  <c r="J172" i="1" l="1"/>
  <c r="K172" i="1" s="1"/>
  <c r="A173" i="1" s="1"/>
  <c r="J84" i="1"/>
  <c r="K84" i="1" s="1"/>
  <c r="B173" i="1" l="1"/>
  <c r="C173" i="1" s="1"/>
  <c r="F173" i="1"/>
  <c r="G173" i="1"/>
  <c r="J85" i="1"/>
  <c r="K85" i="1" s="1"/>
  <c r="H173" i="1" l="1"/>
  <c r="D173" i="1"/>
  <c r="E173" i="1"/>
  <c r="J86" i="1"/>
  <c r="K86" i="1" s="1"/>
  <c r="I173" i="1" l="1"/>
  <c r="J173" i="1" s="1"/>
  <c r="K173" i="1" s="1"/>
  <c r="A174" i="1" s="1"/>
  <c r="J87" i="1"/>
  <c r="K87" i="1" s="1"/>
  <c r="G174" i="1" l="1"/>
  <c r="F174" i="1"/>
  <c r="B174" i="1"/>
  <c r="C174" i="1" s="1"/>
  <c r="J88" i="1"/>
  <c r="K88" i="1" s="1"/>
  <c r="D174" i="1" l="1"/>
  <c r="E174" i="1"/>
  <c r="H174" i="1"/>
  <c r="J89" i="1"/>
  <c r="K89" i="1" s="1"/>
  <c r="I174" i="1" l="1"/>
  <c r="J174" i="1" s="1"/>
  <c r="K174" i="1" s="1"/>
  <c r="A175" i="1" s="1"/>
  <c r="J90" i="1"/>
  <c r="K90" i="1" s="1"/>
  <c r="B175" i="1" l="1"/>
  <c r="H175" i="1" s="1"/>
  <c r="F175" i="1"/>
  <c r="G175" i="1"/>
  <c r="J91" i="1"/>
  <c r="K91" i="1" s="1"/>
  <c r="E175" i="1" l="1"/>
  <c r="D175" i="1"/>
  <c r="I175" i="1" s="1"/>
  <c r="C175" i="1"/>
  <c r="J92" i="1"/>
  <c r="K92" i="1" s="1"/>
  <c r="J175" i="1" l="1"/>
  <c r="K175" i="1" s="1"/>
  <c r="A176" i="1" s="1"/>
  <c r="G176" i="1" s="1"/>
  <c r="J93" i="1"/>
  <c r="K93" i="1" s="1"/>
  <c r="B176" i="1" l="1"/>
  <c r="D176" i="1" s="1"/>
  <c r="F176" i="1"/>
  <c r="J94" i="1"/>
  <c r="K94" i="1" s="1"/>
  <c r="E176" i="1" l="1"/>
  <c r="H176" i="1"/>
  <c r="I176" i="1" s="1"/>
  <c r="C176" i="1"/>
  <c r="J95" i="1"/>
  <c r="K95" i="1" s="1"/>
  <c r="J176" i="1" l="1"/>
  <c r="K176" i="1" s="1"/>
  <c r="A177" i="1" s="1"/>
  <c r="G177" i="1" s="1"/>
  <c r="J96" i="1"/>
  <c r="K96" i="1" s="1"/>
  <c r="B177" i="1" l="1"/>
  <c r="H177" i="1" s="1"/>
  <c r="F177" i="1"/>
  <c r="C177" i="1"/>
  <c r="E177" i="1"/>
  <c r="J97" i="1"/>
  <c r="K97" i="1" s="1"/>
  <c r="D177" i="1" l="1"/>
  <c r="I177" i="1" s="1"/>
  <c r="J177" i="1" s="1"/>
  <c r="K177" i="1" s="1"/>
  <c r="A178" i="1" s="1"/>
  <c r="J98" i="1"/>
  <c r="K98" i="1" s="1"/>
  <c r="F178" i="1" l="1"/>
  <c r="B178" i="1"/>
  <c r="H178" i="1" s="1"/>
  <c r="G178" i="1"/>
  <c r="J99" i="1"/>
  <c r="K99" i="1" s="1"/>
  <c r="E178" i="1" l="1"/>
  <c r="C178" i="1"/>
  <c r="D178" i="1"/>
  <c r="I178" i="1" s="1"/>
  <c r="J100" i="1"/>
  <c r="K100" i="1" s="1"/>
  <c r="J178" i="1" l="1"/>
  <c r="K178" i="1" s="1"/>
  <c r="A179" i="1" s="1"/>
  <c r="J101" i="1"/>
  <c r="K101" i="1" s="1"/>
  <c r="F179" i="1" l="1"/>
  <c r="B179" i="1"/>
  <c r="E179" i="1" s="1"/>
  <c r="G179" i="1"/>
  <c r="J102" i="1"/>
  <c r="K102" i="1" s="1"/>
  <c r="H179" i="1" l="1"/>
  <c r="C179" i="1"/>
  <c r="D179" i="1"/>
  <c r="J103" i="1"/>
  <c r="K103" i="1" s="1"/>
  <c r="I179" i="1" l="1"/>
  <c r="J179" i="1" s="1"/>
  <c r="K179" i="1" s="1"/>
  <c r="A180" i="1" s="1"/>
  <c r="J104" i="1"/>
  <c r="K104" i="1" s="1"/>
  <c r="F180" i="1" l="1"/>
  <c r="B180" i="1"/>
  <c r="D180" i="1" s="1"/>
  <c r="G180" i="1"/>
  <c r="J105" i="1"/>
  <c r="K105" i="1" s="1"/>
  <c r="H180" i="1" l="1"/>
  <c r="I180" i="1" s="1"/>
  <c r="C180" i="1"/>
  <c r="E180" i="1"/>
  <c r="J106" i="1"/>
  <c r="K106" i="1" s="1"/>
  <c r="J180" i="1" l="1"/>
  <c r="K180" i="1" s="1"/>
  <c r="A181" i="1" s="1"/>
  <c r="J107" i="1"/>
  <c r="K107" i="1" s="1"/>
  <c r="F181" i="1" l="1"/>
  <c r="B181" i="1"/>
  <c r="C181" i="1" s="1"/>
  <c r="G181" i="1"/>
  <c r="J108" i="1"/>
  <c r="K108" i="1" s="1"/>
  <c r="E181" i="1" l="1"/>
  <c r="D181" i="1"/>
  <c r="H181" i="1"/>
  <c r="J109" i="1"/>
  <c r="K109" i="1" s="1"/>
  <c r="I181" i="1" l="1"/>
  <c r="J181" i="1"/>
  <c r="K181" i="1" s="1"/>
  <c r="A182" i="1" s="1"/>
  <c r="J110" i="1"/>
  <c r="K110" i="1" s="1"/>
  <c r="F182" i="1" l="1"/>
  <c r="B182" i="1"/>
  <c r="G182" i="1"/>
  <c r="E182" i="1"/>
  <c r="J111" i="1"/>
  <c r="K111" i="1" s="1"/>
  <c r="D182" i="1" l="1"/>
  <c r="C182" i="1"/>
  <c r="H182" i="1"/>
  <c r="J112" i="1"/>
  <c r="K112" i="1" s="1"/>
  <c r="I182" i="1" l="1"/>
  <c r="J182" i="1" s="1"/>
  <c r="K182" i="1" s="1"/>
  <c r="A183" i="1" s="1"/>
  <c r="J113" i="1"/>
  <c r="K113" i="1" s="1"/>
  <c r="G183" i="1" l="1"/>
  <c r="F183" i="1"/>
  <c r="B183" i="1"/>
  <c r="H183" i="1" s="1"/>
  <c r="J114" i="1"/>
  <c r="K114" i="1" s="1"/>
  <c r="E183" i="1" l="1"/>
  <c r="C183" i="1"/>
  <c r="D183" i="1"/>
  <c r="I183" i="1" s="1"/>
  <c r="J183" i="1" l="1"/>
  <c r="K183" i="1" s="1"/>
  <c r="A184" i="1" s="1"/>
  <c r="G184" i="1" s="1"/>
  <c r="F184" i="1" l="1"/>
  <c r="B184" i="1"/>
  <c r="D184" i="1" s="1"/>
  <c r="H184" i="1" l="1"/>
  <c r="I184" i="1" s="1"/>
  <c r="C184" i="1"/>
  <c r="E184" i="1"/>
  <c r="J184" i="1" l="1"/>
  <c r="K184" i="1" s="1"/>
  <c r="A185" i="1" s="1"/>
  <c r="G185" i="1" s="1"/>
  <c r="B185" i="1" l="1"/>
  <c r="D185" i="1" s="1"/>
  <c r="F185" i="1"/>
  <c r="E185" i="1" l="1"/>
  <c r="H185" i="1"/>
  <c r="I185" i="1" s="1"/>
  <c r="C185" i="1"/>
  <c r="J185" i="1" l="1"/>
  <c r="K185" i="1" s="1"/>
  <c r="A186" i="1" s="1"/>
  <c r="F186" i="1" s="1"/>
  <c r="G186" i="1" l="1"/>
  <c r="B186" i="1"/>
  <c r="E186" i="1" s="1"/>
  <c r="H186" i="1"/>
  <c r="C186" i="1" l="1"/>
  <c r="D186" i="1"/>
  <c r="I186" i="1" s="1"/>
  <c r="J186" i="1" s="1"/>
  <c r="K186" i="1" s="1"/>
  <c r="A187" i="1" s="1"/>
  <c r="G187" i="1" s="1"/>
  <c r="F187" i="1" l="1"/>
  <c r="B187" i="1"/>
  <c r="H187" i="1" s="1"/>
  <c r="E187" i="1" l="1"/>
  <c r="C187" i="1"/>
  <c r="D187" i="1"/>
  <c r="I187" i="1" s="1"/>
  <c r="J187" i="1" s="1"/>
  <c r="K187" i="1" s="1"/>
  <c r="A188" i="1" s="1"/>
  <c r="F188" i="1" l="1"/>
  <c r="B188" i="1"/>
  <c r="D188" i="1" s="1"/>
  <c r="G188" i="1"/>
  <c r="E188" i="1" l="1"/>
  <c r="H188" i="1"/>
  <c r="I188" i="1" s="1"/>
  <c r="C188" i="1"/>
  <c r="J188" i="1" l="1"/>
  <c r="K188" i="1" s="1"/>
  <c r="A189" i="1" s="1"/>
  <c r="F189" i="1" l="1"/>
  <c r="B189" i="1"/>
  <c r="E189" i="1" s="1"/>
  <c r="G189" i="1"/>
  <c r="C189" i="1" l="1"/>
  <c r="D189" i="1"/>
  <c r="H189" i="1"/>
  <c r="I189" i="1" l="1"/>
  <c r="J189" i="1" s="1"/>
  <c r="K189" i="1" s="1"/>
  <c r="A190" i="1" s="1"/>
  <c r="G190" i="1" s="1"/>
  <c r="B190" i="1" l="1"/>
  <c r="D190" i="1" s="1"/>
  <c r="F190" i="1"/>
  <c r="H190" i="1"/>
  <c r="I190" i="1" s="1"/>
  <c r="C190" i="1"/>
  <c r="E190" i="1"/>
  <c r="J190" i="1" l="1"/>
  <c r="K190" i="1" s="1"/>
  <c r="A191" i="1" s="1"/>
  <c r="F191" i="1" l="1"/>
  <c r="B191" i="1"/>
  <c r="D191" i="1" s="1"/>
  <c r="G191" i="1"/>
  <c r="C191" i="1" l="1"/>
  <c r="H191" i="1"/>
  <c r="I191" i="1" s="1"/>
  <c r="E191" i="1"/>
  <c r="J191" i="1" l="1"/>
  <c r="K191" i="1" s="1"/>
  <c r="A192" i="1" s="1"/>
  <c r="B192" i="1" l="1"/>
  <c r="E192" i="1" s="1"/>
  <c r="G192" i="1"/>
  <c r="F192" i="1"/>
  <c r="C192" i="1" l="1"/>
  <c r="H192" i="1"/>
  <c r="D192" i="1"/>
  <c r="I192" i="1" l="1"/>
  <c r="J192" i="1" s="1"/>
  <c r="K192" i="1" s="1"/>
  <c r="A193" i="1" s="1"/>
  <c r="G193" i="1" l="1"/>
  <c r="F193" i="1"/>
  <c r="B193" i="1"/>
  <c r="C193" i="1" s="1"/>
  <c r="H193" i="1" l="1"/>
  <c r="D193" i="1"/>
  <c r="I193" i="1" s="1"/>
  <c r="E193" i="1"/>
  <c r="J193" i="1" l="1"/>
  <c r="K193" i="1" s="1"/>
  <c r="A194" i="1" s="1"/>
  <c r="G194" i="1" l="1"/>
  <c r="F194" i="1"/>
  <c r="B194" i="1"/>
  <c r="E194" i="1" s="1"/>
  <c r="H194" i="1" l="1"/>
  <c r="D194" i="1"/>
  <c r="C194" i="1"/>
  <c r="I194" i="1" l="1"/>
  <c r="J194" i="1" s="1"/>
  <c r="K194" i="1" s="1"/>
  <c r="A195" i="1" s="1"/>
  <c r="C195" i="1" s="1"/>
  <c r="K195" i="1" l="1"/>
  <c r="A196" i="1" s="1"/>
  <c r="F196" i="1" s="1"/>
  <c r="H195" i="1"/>
  <c r="B195" i="1"/>
  <c r="D195" i="1"/>
  <c r="G195" i="1"/>
  <c r="J195" i="1"/>
  <c r="F195" i="1"/>
  <c r="I195" i="1"/>
  <c r="E195" i="1"/>
  <c r="I196" i="1" l="1"/>
  <c r="G196" i="1"/>
  <c r="H196" i="1"/>
  <c r="C196" i="1"/>
  <c r="J196" i="1"/>
  <c r="E196" i="1"/>
  <c r="K196" i="1"/>
  <c r="A197" i="1" s="1"/>
  <c r="E197" i="1" s="1"/>
  <c r="D196" i="1"/>
  <c r="B196" i="1"/>
  <c r="I197" i="1" l="1"/>
  <c r="K197" i="1"/>
  <c r="A198" i="1" s="1"/>
  <c r="F198" i="1" s="1"/>
  <c r="G197" i="1"/>
  <c r="J197" i="1"/>
  <c r="F197" i="1"/>
  <c r="H197" i="1"/>
  <c r="C197" i="1"/>
  <c r="B197" i="1"/>
  <c r="D197" i="1"/>
  <c r="I198" i="1" l="1"/>
  <c r="C198" i="1"/>
  <c r="H198" i="1"/>
  <c r="K198" i="1"/>
  <c r="A199" i="1" s="1"/>
  <c r="J199" i="1" s="1"/>
  <c r="B198" i="1"/>
  <c r="D198" i="1"/>
  <c r="E198" i="1"/>
  <c r="G198" i="1"/>
  <c r="J198" i="1"/>
  <c r="I199" i="1" l="1"/>
  <c r="B199" i="1"/>
  <c r="H199" i="1"/>
  <c r="E199" i="1"/>
  <c r="C199" i="1"/>
  <c r="D199" i="1"/>
  <c r="G199" i="1"/>
  <c r="K199" i="1"/>
  <c r="A200" i="1" s="1"/>
  <c r="F200" i="1" s="1"/>
  <c r="F199" i="1"/>
  <c r="E200" i="1" l="1"/>
  <c r="D200" i="1"/>
  <c r="C200" i="1"/>
  <c r="H200" i="1"/>
  <c r="J200" i="1"/>
  <c r="K200" i="1"/>
  <c r="A201" i="1" s="1"/>
  <c r="B201" i="1" s="1"/>
  <c r="B200" i="1"/>
  <c r="I200" i="1"/>
  <c r="G200" i="1"/>
  <c r="E201" i="1" l="1"/>
  <c r="J201" i="1"/>
  <c r="D201" i="1"/>
  <c r="H201" i="1"/>
  <c r="F201" i="1"/>
  <c r="G201" i="1"/>
  <c r="C201" i="1"/>
  <c r="I201" i="1"/>
  <c r="K201" i="1"/>
  <c r="A202" i="1" s="1"/>
  <c r="J202" i="1" s="1"/>
  <c r="G202" i="1" l="1"/>
  <c r="B202" i="1"/>
  <c r="E202" i="1"/>
  <c r="I202" i="1"/>
  <c r="C202" i="1"/>
  <c r="H202" i="1"/>
  <c r="D202" i="1"/>
  <c r="F202" i="1"/>
  <c r="K202" i="1"/>
  <c r="A203" i="1" s="1"/>
  <c r="I203" i="1" s="1"/>
  <c r="E203" i="1" l="1"/>
  <c r="H203" i="1"/>
  <c r="C203" i="1"/>
  <c r="B203" i="1"/>
  <c r="K203" i="1"/>
  <c r="A204" i="1" s="1"/>
  <c r="D204" i="1" s="1"/>
  <c r="J203" i="1"/>
  <c r="D203" i="1"/>
  <c r="F203" i="1"/>
  <c r="G203" i="1"/>
  <c r="G204" i="1" l="1"/>
  <c r="K204" i="1"/>
  <c r="I204" i="1"/>
  <c r="H204" i="1"/>
  <c r="C204" i="1"/>
  <c r="F204" i="1"/>
  <c r="E204" i="1"/>
  <c r="B204" i="1"/>
  <c r="J204" i="1"/>
</calcChain>
</file>

<file path=xl/comments1.xml><?xml version="1.0" encoding="utf-8"?>
<comments xmlns="http://schemas.openxmlformats.org/spreadsheetml/2006/main">
  <authors>
    <author>Vertex42</author>
    <author>Vertex42.com Templates</author>
    <author>Jon</author>
  </authors>
  <commentList>
    <comment ref="J9" authorId="0" shapeId="0">
      <text>
        <r>
          <rPr>
            <b/>
            <sz val="8"/>
            <color indexed="81"/>
            <rFont val="Tahoma"/>
            <family val="2"/>
          </rPr>
          <t>Present Value of Lifestyle (Salary) at Retirement:</t>
        </r>
        <r>
          <rPr>
            <sz val="8"/>
            <color indexed="81"/>
            <rFont val="Tahoma"/>
            <family val="2"/>
          </rPr>
          <t xml:space="preserve">
This is where you estimate the lifestyle you want at retirement by specifying the salary that you think you could live on. Estimate how much you will want to live on at retirement based on today's value of money.</t>
        </r>
      </text>
    </comment>
    <comment ref="D11" authorId="0" shapeId="0">
      <text>
        <r>
          <rPr>
            <b/>
            <sz val="8"/>
            <color indexed="81"/>
            <rFont val="Tahoma"/>
            <family val="2"/>
          </rPr>
          <t>Years to Pay Out:</t>
        </r>
        <r>
          <rPr>
            <sz val="8"/>
            <color indexed="81"/>
            <rFont val="Tahoma"/>
            <family val="2"/>
          </rPr>
          <t xml:space="preserve">
Enter the number of years that you want your retirement nest egg to last.</t>
        </r>
      </text>
    </comment>
    <comment ref="J11" authorId="0" shapeId="0">
      <text>
        <r>
          <rPr>
            <b/>
            <sz val="8"/>
            <color indexed="81"/>
            <rFont val="Tahoma"/>
            <family val="2"/>
          </rPr>
          <t>Total Needed at Retirement:</t>
        </r>
        <r>
          <rPr>
            <sz val="8"/>
            <color indexed="81"/>
            <rFont val="Tahoma"/>
            <family val="2"/>
          </rPr>
          <t xml:space="preserve">
This is an annuity calculation that estimates the total nest egg that you need at retirement to last through the years of retirement based on the chosen lifestyle. Your current savings, future retirement income, and other assets are subtracted from this value to determine the additional savings needed.</t>
        </r>
      </text>
    </comment>
    <comment ref="D12" authorId="0" shapeId="0">
      <text>
        <r>
          <rPr>
            <b/>
            <sz val="8"/>
            <color indexed="81"/>
            <rFont val="Tahoma"/>
            <family val="2"/>
          </rPr>
          <t>Years to Invest:</t>
        </r>
        <r>
          <rPr>
            <sz val="8"/>
            <color indexed="81"/>
            <rFont val="Tahoma"/>
            <family val="2"/>
          </rPr>
          <t xml:space="preserve">
This calculator assumes that you will be contributing the same percentage of your salary each year until retirement. However, you can override this formula to enter a specific number of years to invest.</t>
        </r>
      </text>
    </comment>
    <comment ref="J14" authorId="0" shapeId="0">
      <text>
        <r>
          <rPr>
            <b/>
            <sz val="8"/>
            <color indexed="81"/>
            <rFont val="Tahoma"/>
            <family val="2"/>
          </rPr>
          <t>Current Retirement Savings:</t>
        </r>
        <r>
          <rPr>
            <sz val="8"/>
            <color indexed="81"/>
            <rFont val="Tahoma"/>
            <family val="2"/>
          </rPr>
          <t xml:space="preserve">
Enter the total amount currently in your retirement savings. This will affect how much more you will need to save to reach your goal.</t>
        </r>
      </text>
    </comment>
    <comment ref="D15" authorId="0" shapeId="0">
      <text>
        <r>
          <rPr>
            <b/>
            <sz val="8"/>
            <color indexed="81"/>
            <rFont val="Tahoma"/>
            <family val="2"/>
          </rPr>
          <t>Return During Accumulation:</t>
        </r>
        <r>
          <rPr>
            <sz val="8"/>
            <color indexed="81"/>
            <rFont val="Tahoma"/>
            <family val="2"/>
          </rPr>
          <t xml:space="preserve">
This calculator lets you specify a different rate of return on your investments before and after retirement. Rates are impossible to predict, but usually your retirement nest egg is made up of lower risk investments as you approach retirement and during retirement. So, choosing a higher rate for the accumulation period and a lower rate after retirement provides a more realistic estimate than if you expected to get a high rate of return even during retirement.</t>
        </r>
      </text>
    </comment>
    <comment ref="J15" authorId="0" shapeId="0">
      <text>
        <r>
          <rPr>
            <b/>
            <sz val="8"/>
            <color indexed="81"/>
            <rFont val="Tahoma"/>
            <family val="2"/>
          </rPr>
          <t>Value of Current Savings at Retirement:</t>
        </r>
        <r>
          <rPr>
            <sz val="8"/>
            <color indexed="81"/>
            <rFont val="Tahoma"/>
            <family val="2"/>
          </rPr>
          <t xml:space="preserve">
This takes into account your Current Retirement Balance growing until retirement (based on the Return During Accumulation rate).</t>
        </r>
      </text>
    </comment>
    <comment ref="D17" authorId="0" shapeId="0">
      <text>
        <r>
          <rPr>
            <b/>
            <sz val="8"/>
            <color indexed="81"/>
            <rFont val="Tahoma"/>
            <family val="2"/>
          </rPr>
          <t>Annual Rate of Inflation:</t>
        </r>
        <r>
          <rPr>
            <sz val="8"/>
            <color indexed="81"/>
            <rFont val="Tahoma"/>
            <family val="2"/>
          </rPr>
          <t xml:space="preserve">
This is another number that is impossible to predict accurately, but do your best to enter a reasonable rate. If you enter a rate that is too low, you will underestimate how much you should be saving.</t>
        </r>
      </text>
    </comment>
    <comment ref="J19" authorId="1" shapeId="0">
      <text>
        <r>
          <rPr>
            <b/>
            <sz val="9"/>
            <color indexed="81"/>
            <rFont val="Tahoma"/>
            <family val="2"/>
          </rPr>
          <t>Age When Income Begins:</t>
        </r>
        <r>
          <rPr>
            <sz val="9"/>
            <color indexed="81"/>
            <rFont val="Tahoma"/>
            <family val="2"/>
          </rPr>
          <t xml:space="preserve">
For this calculator, "Age When Income Begins" must be equal to or greater than the "Age at Retirement"</t>
        </r>
      </text>
    </comment>
    <comment ref="J22" authorId="1" shapeId="0">
      <text>
        <r>
          <rPr>
            <b/>
            <sz val="9"/>
            <color indexed="81"/>
            <rFont val="Tahoma"/>
            <family val="2"/>
          </rPr>
          <t>Years of Income Payout:</t>
        </r>
        <r>
          <rPr>
            <sz val="9"/>
            <color indexed="81"/>
            <rFont val="Tahoma"/>
            <family val="2"/>
          </rPr>
          <t xml:space="preserve">
The calculator requires that the "Age When Income Begins" plus the "Years of Income Payout" must be less than or equal to the "Age at Retirement" plus "Years to Pay Out"</t>
        </r>
      </text>
    </comment>
    <comment ref="J23" authorId="0" shapeId="0">
      <text>
        <r>
          <rPr>
            <b/>
            <sz val="8"/>
            <color indexed="81"/>
            <rFont val="Tahoma"/>
            <family val="2"/>
          </rPr>
          <t>Lump-Sum Value of Future Retirement Income at Retirement:</t>
        </r>
        <r>
          <rPr>
            <sz val="8"/>
            <color indexed="81"/>
            <rFont val="Tahoma"/>
            <family val="2"/>
          </rPr>
          <t xml:space="preserve">
This is a present-value calculation for the future retirement income. It is subtracted from the Total Needed at Retirement to determine the Additional Savings Required.</t>
        </r>
      </text>
    </comment>
    <comment ref="D24" authorId="0" shapeId="0">
      <text>
        <r>
          <rPr>
            <b/>
            <sz val="9"/>
            <color indexed="81"/>
            <rFont val="Tahoma"/>
            <family val="2"/>
          </rPr>
          <t>Percent of Salary to Contribute to Savings:</t>
        </r>
        <r>
          <rPr>
            <sz val="9"/>
            <color indexed="81"/>
            <rFont val="Tahoma"/>
            <family val="2"/>
          </rPr>
          <t xml:space="preserve">
The amount that you will save is based on a percentage of your salary. That way, as your salary increases, the amount that you will save will also increase.
</t>
        </r>
        <r>
          <rPr>
            <b/>
            <sz val="9"/>
            <color indexed="81"/>
            <rFont val="Tahoma"/>
            <family val="2"/>
          </rPr>
          <t xml:space="preserve">Note: </t>
        </r>
        <r>
          <rPr>
            <sz val="9"/>
            <color indexed="81"/>
            <rFont val="Tahoma"/>
            <family val="2"/>
          </rPr>
          <t>Your annual savings contributions in this spreadsheet are not limited to just 401k contributions. However, if you specify an Employer Match, the spreadsheet assumes you are first contributing to a 401k, and then any savings beyond the 401k limits are placed in other accounts.</t>
        </r>
      </text>
    </comment>
    <comment ref="D25" authorId="0" shapeId="0">
      <text>
        <r>
          <rPr>
            <b/>
            <sz val="9"/>
            <color indexed="81"/>
            <rFont val="Tahoma"/>
            <family val="2"/>
          </rPr>
          <t>Employer Match:</t>
        </r>
        <r>
          <rPr>
            <sz val="9"/>
            <color indexed="81"/>
            <rFont val="Tahoma"/>
            <family val="2"/>
          </rPr>
          <t xml:space="preserve">
This is the amount your employer contributes, specified as a percentage of your contribution.
For example, if you contributed $1000 and your company matches 50%, then your company would contribute $500.</t>
        </r>
      </text>
    </comment>
    <comment ref="D26" authorId="0" shapeId="0">
      <text>
        <r>
          <rPr>
            <b/>
            <sz val="9"/>
            <color indexed="81"/>
            <rFont val="Tahoma"/>
            <family val="2"/>
          </rPr>
          <t>Maximum Employee % Contribution (for Employer Match)</t>
        </r>
        <r>
          <rPr>
            <sz val="9"/>
            <color indexed="81"/>
            <rFont val="Tahoma"/>
            <family val="2"/>
          </rPr>
          <t xml:space="preserve">
There is usually a limit to how much of your contribution your company will match. The maximum employer contribution is often stated as "50% match up to 6% of your salary." For this spreadsheet, this should be interpreted as "</t>
        </r>
        <r>
          <rPr>
            <b/>
            <sz val="9"/>
            <color indexed="81"/>
            <rFont val="Tahoma"/>
            <family val="2"/>
          </rPr>
          <t>50% match up to an employee contribution of 6%.</t>
        </r>
        <r>
          <rPr>
            <sz val="9"/>
            <color indexed="81"/>
            <rFont val="Tahoma"/>
            <family val="2"/>
          </rPr>
          <t>" This means that the company stops matching the rest of your contribution if you contribute more than 6% of your salary.</t>
        </r>
      </text>
    </comment>
    <comment ref="J26" authorId="0" shapeId="0">
      <text>
        <r>
          <rPr>
            <b/>
            <sz val="8"/>
            <color indexed="81"/>
            <rFont val="Tahoma"/>
            <family val="2"/>
          </rPr>
          <t>Other Assets:</t>
        </r>
        <r>
          <rPr>
            <sz val="8"/>
            <color indexed="81"/>
            <rFont val="Tahoma"/>
            <family val="2"/>
          </rPr>
          <t xml:space="preserve">
You can include the value of other assets such as a pension or assets that can be sold to help fund your retirement. The value entered here should be the value at the time of retirement. For the sake of estimation and calculation, this amount is included as an Annual Contribution during the last year before you retire.</t>
        </r>
      </text>
    </comment>
    <comment ref="D27" authorId="0" shapeId="0">
      <text>
        <r>
          <rPr>
            <b/>
            <sz val="9"/>
            <color indexed="81"/>
            <rFont val="Tahoma"/>
            <family val="2"/>
          </rPr>
          <t>Current Annual Contributions:</t>
        </r>
        <r>
          <rPr>
            <sz val="9"/>
            <color indexed="81"/>
            <rFont val="Tahoma"/>
            <family val="2"/>
          </rPr>
          <t xml:space="preserve">
This amount includes both the % of your salary that you are saving as well as the employer match. This amount grows with your increase in salary. That is taken into account in the calculation of the Value of Current Contributions at Retirement.</t>
        </r>
      </text>
    </comment>
    <comment ref="J28" authorId="1" shapeId="0">
      <text>
        <r>
          <rPr>
            <b/>
            <sz val="9"/>
            <color indexed="81"/>
            <rFont val="Tahoma"/>
            <family val="2"/>
          </rPr>
          <t>Shortfall:</t>
        </r>
        <r>
          <rPr>
            <sz val="9"/>
            <color indexed="81"/>
            <rFont val="Tahoma"/>
            <family val="2"/>
          </rPr>
          <t xml:space="preserve">
If the value for the shortfall is a negative number, that means there is actually a surplus instead of a shortfall. Be careful how you interpret the results. Some results might not apply in the case of a negative shortfall.</t>
        </r>
      </text>
    </comment>
    <comment ref="J30" authorId="2" shapeId="0">
      <text>
        <r>
          <rPr>
            <b/>
            <sz val="9"/>
            <color indexed="81"/>
            <rFont val="Tahoma"/>
            <family val="2"/>
          </rPr>
          <t>Additional Annual Contribution:</t>
        </r>
        <r>
          <rPr>
            <sz val="9"/>
            <color indexed="81"/>
            <rFont val="Tahoma"/>
            <family val="2"/>
          </rPr>
          <t xml:space="preserve">
This is the amount that needs to be added to the "Current Annual Contributions" to meet the retirement goal. It is calculated based on the amount you will need to have saved, the rate or return during the accumulation period, the number of years you will be accumulating, and the percentage increase in your salary.
</t>
        </r>
        <r>
          <rPr>
            <b/>
            <sz val="9"/>
            <color indexed="81"/>
            <rFont val="Tahoma"/>
            <family val="2"/>
          </rPr>
          <t>Note:</t>
        </r>
        <r>
          <rPr>
            <sz val="9"/>
            <color indexed="81"/>
            <rFont val="Tahoma"/>
            <family val="2"/>
          </rPr>
          <t xml:space="preserve"> If this value is (negative) it would mean less needs to be saved, but be careful how you interpret the results.</t>
        </r>
      </text>
    </comment>
    <comment ref="J31" authorId="2" shapeId="0">
      <text>
        <r>
          <rPr>
            <b/>
            <sz val="8"/>
            <color indexed="81"/>
            <rFont val="Tahoma"/>
            <family val="2"/>
          </rPr>
          <t>% of Salary to Contribute:</t>
        </r>
        <r>
          <rPr>
            <sz val="8"/>
            <color indexed="81"/>
            <rFont val="Tahoma"/>
            <family val="2"/>
          </rPr>
          <t xml:space="preserve">
Taking into account your employer match, this is the percentage of your salary that you would need to contribute to savings to reach the retirement goal.</t>
        </r>
      </text>
    </comment>
    <comment ref="D43" authorId="2" shapeId="0">
      <text>
        <r>
          <rPr>
            <b/>
            <sz val="8"/>
            <color indexed="81"/>
            <rFont val="Tahoma"/>
            <family val="2"/>
          </rPr>
          <t>Payments Per Year:</t>
        </r>
        <r>
          <rPr>
            <sz val="8"/>
            <color indexed="81"/>
            <rFont val="Tahoma"/>
            <family val="2"/>
          </rPr>
          <t xml:space="preserve">
The number of contributions per year. This would normally be based on how often you receive your paycheck.
12 = Monthly
24 = Semi-Monthly (twice per month)
26 = Bi-Weekly (once every two weeks)
52 = Weekly
13 = Every 4 weeks
4 = Quarterly (four times per year)
2 = Semi-annually
1 = Annually</t>
        </r>
      </text>
    </comment>
    <comment ref="D44" authorId="2" shapeId="0">
      <text>
        <r>
          <rPr>
            <b/>
            <sz val="8"/>
            <color indexed="81"/>
            <rFont val="Tahoma"/>
            <family val="2"/>
          </rPr>
          <t>Withdrawal Payment Type:</t>
        </r>
        <r>
          <rPr>
            <sz val="8"/>
            <color indexed="81"/>
            <rFont val="Tahoma"/>
            <family val="2"/>
          </rPr>
          <t xml:space="preserve">
0 : End of Period
1 : Beginning of Period</t>
        </r>
      </text>
    </comment>
    <comment ref="C47" authorId="2" shapeId="0">
      <text>
        <r>
          <rPr>
            <b/>
            <sz val="8"/>
            <color indexed="81"/>
            <rFont val="Tahoma"/>
            <family val="2"/>
          </rPr>
          <t>Expected Annual Return:</t>
        </r>
        <r>
          <rPr>
            <sz val="8"/>
            <color indexed="81"/>
            <rFont val="Tahoma"/>
            <family val="2"/>
          </rPr>
          <t xml:space="preserve">
To vary the rate over time, delete the formulas in this column and either add your own formulas or enter the rates manually.
</t>
        </r>
        <r>
          <rPr>
            <b/>
            <sz val="8"/>
            <color indexed="81"/>
            <rFont val="Tahoma"/>
            <family val="2"/>
          </rPr>
          <t>Random Rate Formula:</t>
        </r>
        <r>
          <rPr>
            <sz val="8"/>
            <color indexed="81"/>
            <rFont val="Tahoma"/>
            <family val="2"/>
          </rPr>
          <t xml:space="preserve">
Random rate between -2% and 10%
  =min+RAND()*(max-min)
  where min=-0.02 and max=0.10
</t>
        </r>
      </text>
    </comment>
    <comment ref="D47" authorId="2" shapeId="0">
      <text>
        <r>
          <rPr>
            <b/>
            <sz val="8"/>
            <color indexed="81"/>
            <rFont val="Tahoma"/>
            <family val="2"/>
          </rPr>
          <t>Salary Basis:</t>
        </r>
        <r>
          <rPr>
            <sz val="8"/>
            <color indexed="81"/>
            <rFont val="Tahoma"/>
            <family val="2"/>
          </rPr>
          <t xml:space="preserve">
The contributions for each year are based on the salary in this column. This also represents what you want to live on during retirement. The increase in Salary basis after retirement is based on inflation.</t>
        </r>
      </text>
    </comment>
    <comment ref="E47" authorId="2" shapeId="0">
      <text>
        <r>
          <rPr>
            <b/>
            <sz val="8"/>
            <color indexed="81"/>
            <rFont val="Tahoma"/>
            <family val="2"/>
          </rPr>
          <t>Your Annual Contribution:</t>
        </r>
        <r>
          <rPr>
            <sz val="8"/>
            <color indexed="81"/>
            <rFont val="Tahoma"/>
            <family val="2"/>
          </rPr>
          <t xml:space="preserve">
This calculator does not take into account whether your contributions are pre-tax or after tax (i.e. a Roth 401k). At retirement, the amount you've entered for "Value of Other Assets at Retirement" is included in the column.</t>
        </r>
      </text>
    </comment>
    <comment ref="G47" authorId="2" shapeId="0">
      <text>
        <r>
          <rPr>
            <b/>
            <sz val="8"/>
            <color indexed="81"/>
            <rFont val="Tahoma"/>
            <family val="2"/>
          </rPr>
          <t>Annual Employer Match</t>
        </r>
        <r>
          <rPr>
            <sz val="8"/>
            <color indexed="81"/>
            <rFont val="Tahoma"/>
            <family val="2"/>
          </rPr>
          <t xml:space="preserve">
The amount your employer matches during the year.</t>
        </r>
      </text>
    </comment>
    <comment ref="H47" authorId="2" shapeId="0">
      <text>
        <r>
          <rPr>
            <b/>
            <sz val="8"/>
            <color indexed="81"/>
            <rFont val="Tahoma"/>
            <family val="2"/>
          </rPr>
          <t>Retirement Income:</t>
        </r>
        <r>
          <rPr>
            <sz val="8"/>
            <color indexed="81"/>
            <rFont val="Tahoma"/>
            <family val="2"/>
          </rPr>
          <t xml:space="preserve">
This column, if it is not zero, reduces the amount of the payout. In this calculator, retirement income is NOT added to the Balance and Interest is NOT earned on retirement income.</t>
        </r>
      </text>
    </comment>
    <comment ref="I47" authorId="2" shapeId="0">
      <text>
        <r>
          <rPr>
            <b/>
            <sz val="8"/>
            <color indexed="81"/>
            <rFont val="Tahoma"/>
            <family val="2"/>
          </rPr>
          <t>Payout (Withdrawal):</t>
        </r>
        <r>
          <rPr>
            <sz val="8"/>
            <color indexed="81"/>
            <rFont val="Tahoma"/>
            <family val="2"/>
          </rPr>
          <t xml:space="preserve">
This is the amount paid or withdrawn at the end of the specified period. If you have entered an Annual Inflation Rate, you will notice that the Payout increases each period.
When you set the Withdrawal Payment Type to "Beginning of Period", the first payment is made at the end of period 0, which is the same as saying the beginning of period 1.</t>
        </r>
      </text>
    </comment>
    <comment ref="J47" authorId="2" shapeId="0">
      <text>
        <r>
          <rPr>
            <b/>
            <i/>
            <sz val="8"/>
            <color indexed="81"/>
            <rFont val="Tahoma"/>
            <family val="2"/>
          </rPr>
          <t>Estimated</t>
        </r>
        <r>
          <rPr>
            <b/>
            <sz val="8"/>
            <color indexed="81"/>
            <rFont val="Tahoma"/>
            <family val="2"/>
          </rPr>
          <t xml:space="preserve"> Annual Investment Return:</t>
        </r>
        <r>
          <rPr>
            <sz val="8"/>
            <color indexed="81"/>
            <rFont val="Tahoma"/>
            <family val="2"/>
          </rPr>
          <t xml:space="preserve">
This is an </t>
        </r>
        <r>
          <rPr>
            <i/>
            <sz val="8"/>
            <color indexed="81"/>
            <rFont val="Tahoma"/>
            <family val="2"/>
          </rPr>
          <t>estimate</t>
        </r>
        <r>
          <rPr>
            <sz val="8"/>
            <color indexed="81"/>
            <rFont val="Tahoma"/>
            <family val="2"/>
          </rPr>
          <t xml:space="preserve"> of the increase in your retirement account based on the rates of return you have assumed before and after retirement. Actual returns are impossible to predict accurately.
This is calculated using the FV formula to account for the fact that the contributions are made in equal payments each time you receive your paycheck (the effect of compounding is fairly minimal compared to fluctuations in actual rates of return).</t>
        </r>
      </text>
    </comment>
    <comment ref="K47" authorId="2" shapeId="0">
      <text>
        <r>
          <rPr>
            <sz val="8"/>
            <color indexed="81"/>
            <rFont val="Tahoma"/>
            <family val="2"/>
          </rPr>
          <t xml:space="preserve">Balance at the </t>
        </r>
        <r>
          <rPr>
            <b/>
            <sz val="8"/>
            <color indexed="81"/>
            <rFont val="Tahoma"/>
            <family val="2"/>
          </rPr>
          <t>end of the year</t>
        </r>
        <r>
          <rPr>
            <sz val="8"/>
            <color indexed="81"/>
            <rFont val="Tahoma"/>
            <family val="2"/>
          </rPr>
          <t>.</t>
        </r>
      </text>
    </comment>
  </commentList>
</comments>
</file>

<file path=xl/sharedStrings.xml><?xml version="1.0" encoding="utf-8"?>
<sst xmlns="http://schemas.openxmlformats.org/spreadsheetml/2006/main" count="127" uniqueCount="107">
  <si>
    <t>Balance</t>
  </si>
  <si>
    <t>Current Age</t>
  </si>
  <si>
    <t>Age at Retirement</t>
  </si>
  <si>
    <t>Year</t>
  </si>
  <si>
    <t>Age</t>
  </si>
  <si>
    <t>Annual Increase in Salary</t>
  </si>
  <si>
    <t>Years to Invest</t>
  </si>
  <si>
    <r>
      <t xml:space="preserve">Annual </t>
    </r>
    <r>
      <rPr>
        <sz val="10"/>
        <rFont val="Tahoma"/>
        <family val="2"/>
      </rPr>
      <t>Contribution</t>
    </r>
  </si>
  <si>
    <t>Payments Per Year</t>
  </si>
  <si>
    <t>Return</t>
  </si>
  <si>
    <t>Current Annual Salary</t>
  </si>
  <si>
    <t>HELP</t>
  </si>
  <si>
    <t>Additional Help</t>
  </si>
  <si>
    <t>The link at the top of this worksheet will take you to the web page on vertex42.com that talks about this template.</t>
  </si>
  <si>
    <t>REFERENCES</t>
  </si>
  <si>
    <t>SEE ALSO</t>
  </si>
  <si>
    <t>Vertex42.com: Personal Budget Spreadsheet</t>
  </si>
  <si>
    <t>TIPS</t>
  </si>
  <si>
    <t>Vertex42.com: Spreadsheet Tips Workbook</t>
  </si>
  <si>
    <t>By Vertex42.com</t>
  </si>
  <si>
    <t>Do not submit copies or modifications of this template to any website or online template gallery.</t>
  </si>
  <si>
    <t>Please review the following license agreement to learn how you may or may not use this template. Thank you.</t>
  </si>
  <si>
    <t>About This Template</t>
  </si>
  <si>
    <t>This spreadsheet, including all worksheets and associated content is a copyrighted work under the United States and other copyright laws.</t>
  </si>
  <si>
    <t>Retirement Calculator</t>
  </si>
  <si>
    <t>Years to Pay Out</t>
  </si>
  <si>
    <r>
      <t xml:space="preserve">Payout
</t>
    </r>
    <r>
      <rPr>
        <sz val="10"/>
        <rFont val="Arial"/>
        <family val="2"/>
      </rPr>
      <t>(Withdrawal)</t>
    </r>
  </si>
  <si>
    <t>Annual Inflation</t>
  </si>
  <si>
    <r>
      <t xml:space="preserve">Salary </t>
    </r>
    <r>
      <rPr>
        <sz val="10"/>
        <rFont val="Tahoma"/>
        <family val="2"/>
      </rPr>
      <t>Basis</t>
    </r>
  </si>
  <si>
    <t>Return During Accumulation</t>
  </si>
  <si>
    <t>Withdrawal Payment Type</t>
  </si>
  <si>
    <r>
      <t xml:space="preserve">Interest
</t>
    </r>
    <r>
      <rPr>
        <sz val="10"/>
        <rFont val="Tahoma"/>
        <family val="2"/>
      </rPr>
      <t>Earned</t>
    </r>
  </si>
  <si>
    <t>Current Retirement Savings</t>
  </si>
  <si>
    <t>• Taxes and IRS Contribution Limits are NOT</t>
  </si>
  <si>
    <t>Notes</t>
  </si>
  <si>
    <r>
      <t xml:space="preserve">Employer </t>
    </r>
    <r>
      <rPr>
        <sz val="10"/>
        <rFont val="Tahoma"/>
        <family val="2"/>
      </rPr>
      <t>Match</t>
    </r>
  </si>
  <si>
    <t>factored into any of these calculations. For example,</t>
  </si>
  <si>
    <t>• Mandatory disbursements and other regulations</t>
  </si>
  <si>
    <r>
      <rPr>
        <b/>
        <sz val="10"/>
        <rFont val="Tahoma"/>
        <family val="2"/>
      </rPr>
      <t>Note:</t>
    </r>
    <r>
      <rPr>
        <sz val="10"/>
        <rFont val="Tahoma"/>
        <family val="2"/>
      </rPr>
      <t xml:space="preserve"> Results are only estimates!</t>
    </r>
  </si>
  <si>
    <t>• Results are only rough estimates, largely because</t>
  </si>
  <si>
    <t>of uncertainty in the rates of return, inflation, future</t>
  </si>
  <si>
    <t>Inflation-Adjusted Salary at Retirement</t>
  </si>
  <si>
    <t xml:space="preserve">• Interest compounds based on the number of </t>
  </si>
  <si>
    <t>Age When Income Begins</t>
  </si>
  <si>
    <t>Initial Annual Amount</t>
  </si>
  <si>
    <t>Retirement Income</t>
  </si>
  <si>
    <t>Annual Increase</t>
  </si>
  <si>
    <t>Other Retirement Income</t>
  </si>
  <si>
    <t>Retirement Needs</t>
  </si>
  <si>
    <t>are not accounted for.</t>
  </si>
  <si>
    <t>Only edit the cells with the light gray border.</t>
  </si>
  <si>
    <t>Instructions</t>
  </si>
  <si>
    <t>Value of Current Savings at Retirement</t>
  </si>
  <si>
    <t>Return After Retirement</t>
  </si>
  <si>
    <t>Value of Other Income at Retirement</t>
  </si>
  <si>
    <t>Rates and Inflation</t>
  </si>
  <si>
    <t>Current Retirement Savings Balance</t>
  </si>
  <si>
    <t>Shortfall at Retirement</t>
  </si>
  <si>
    <t>Other Assets (Pension, Sellable Real Estate)</t>
  </si>
  <si>
    <t>Plan Information</t>
  </si>
  <si>
    <t>Total % of Salary to Save to Reach Goal</t>
  </si>
  <si>
    <t>Total Needed to Fund 100% of Retirement</t>
  </si>
  <si>
    <t>Value of Other Assets at Retirement</t>
  </si>
  <si>
    <t>Salary</t>
  </si>
  <si>
    <t>Salary During Retirement (in today's dollars)</t>
  </si>
  <si>
    <t>Additional Annual Savings Needed</t>
  </si>
  <si>
    <t>Value of Current Contributions at Retirement</t>
  </si>
  <si>
    <t>Current Savings Contributions</t>
  </si>
  <si>
    <t>Current Annual Contributions</t>
  </si>
  <si>
    <t>Series 1</t>
  </si>
  <si>
    <t>Series 2</t>
  </si>
  <si>
    <t>[Address, City, ST ZIP]</t>
  </si>
  <si>
    <t>Prepared By:</t>
  </si>
  <si>
    <t>Phone: [Phone]</t>
  </si>
  <si>
    <t>For:</t>
  </si>
  <si>
    <t>Email: [Email]</t>
  </si>
  <si>
    <t>Years Payout Will Last Without Additional Savings</t>
  </si>
  <si>
    <t>• This spreadsheet and its contents should not be</t>
  </si>
  <si>
    <t>construed as professional financial advice. It may not</t>
  </si>
  <si>
    <t>be suitable for your specific situation.</t>
  </si>
  <si>
    <t>Vertex42.com: Home Mortgage Calculator</t>
  </si>
  <si>
    <r>
      <rPr>
        <b/>
        <sz val="11"/>
        <color rgb="FF000000"/>
        <rFont val="Arial"/>
        <family val="2"/>
      </rPr>
      <t>Caution:</t>
    </r>
    <r>
      <rPr>
        <sz val="11"/>
        <color rgb="FF000000"/>
        <rFont val="Arial"/>
        <family val="2"/>
      </rPr>
      <t xml:space="preserve"> There are a large number of assumptions and estimations made by this calculator, so be careful how you use and interpret the results. For example, it does not take into account current debt, taxes, large future expenses or disasters, etc.</t>
    </r>
  </si>
  <si>
    <t>This calculator is designed to estimate how much of your salary you may need to contribute towards savings to meet your retirement goal. It was designed based on combining a 401(k) savings calculator with a retirement withdrawal calculator.</t>
  </si>
  <si>
    <t>Read the cell comments to learn more about some of the inputs and outputs.</t>
  </si>
  <si>
    <t>Vertex42.com: 401(k) Savings Calculator</t>
  </si>
  <si>
    <t>Vertex42.com: Retirement Withdrawal Calculator</t>
  </si>
  <si>
    <t>Due to the complexity of retirement planning, you may need to seek help from a certified professional to understand how a calculator like this works and its limitations.</t>
  </si>
  <si>
    <t>this calculator does not take into account whether</t>
  </si>
  <si>
    <t>contributions are pre-tax as in a traditional IRA or</t>
  </si>
  <si>
    <t>post-tax as in a ROTH IRA.</t>
  </si>
  <si>
    <t>salary, willpower to continue saving, unexpected life</t>
  </si>
  <si>
    <t>events, and other assumptions.</t>
  </si>
  <si>
    <t>Like this? Visit the link above to give a +1 or Like.</t>
  </si>
  <si>
    <t>LOGO</t>
  </si>
  <si>
    <t>Payments per Year, which is 1 in this spreadsheet.</t>
  </si>
  <si>
    <t>Est. Inv. Return</t>
  </si>
  <si>
    <t>Years of Income Payout</t>
  </si>
  <si>
    <t>◄ Unhide rows 3-6 for a "Prepared By" header</t>
  </si>
  <si>
    <t>https://www.vertex42.com/Calculators/retirement-calculator.html</t>
  </si>
  <si>
    <t>https://www.vertex42.com/licensing/EULA_personaluse.html</t>
  </si>
  <si>
    <t>Do not delete this worksheet</t>
  </si>
  <si>
    <t>License Agreement</t>
  </si>
  <si>
    <t>More Financial Calculators</t>
  </si>
  <si>
    <t>Employer Match</t>
  </si>
  <si>
    <t>% of Salary Saved</t>
  </si>
  <si>
    <t>Max Employee % Contribution</t>
  </si>
  <si>
    <t>© 2015-2019 Vertex42 LLC</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</si>
</sst>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8" formatCode="&quot;$&quot;#,##0.00_);[Red]\(&quot;$&quot;#,##0.00\)"/>
    <numFmt numFmtId="44" formatCode="_(&quot;$&quot;* #,##0.00_);_(&quot;$&quot;* \(#,##0.00\);_(&quot;$&quot;* &quot;-&quot;??_);_(@_)"/>
    <numFmt numFmtId="43" formatCode="_(* #,##0.00_);_(* \(#,##0.00\);_(* &quot;-&quot;??_);_(@_)"/>
    <numFmt numFmtId="164" formatCode="&quot;$&quot;* #,##0.00;&quot;$&quot;* \-#,##0.00;&quot;$&quot;* &quot;-&quot;??;@"/>
    <numFmt numFmtId="165" formatCode="0.00000"/>
    <numFmt numFmtId="166" formatCode="#,##0.0_);\(#,##0.0\)"/>
    <numFmt numFmtId="167" formatCode="#,##0_);[Color10]\(#,##0\)"/>
  </numFmts>
  <fonts count="54" x14ac:knownFonts="1">
    <font>
      <sz val="10"/>
      <name val="Tahoma"/>
      <family val="2"/>
    </font>
    <font>
      <sz val="10"/>
      <name val="Arial"/>
      <family val="2"/>
    </font>
    <font>
      <sz val="8"/>
      <name val="Arial"/>
      <family val="2"/>
    </font>
    <font>
      <b/>
      <sz val="10"/>
      <name val="Tahoma"/>
      <family val="2"/>
    </font>
    <font>
      <sz val="10"/>
      <name val="Tahoma"/>
      <family val="2"/>
    </font>
    <font>
      <sz val="8"/>
      <name val="Tahoma"/>
      <family val="2"/>
    </font>
    <font>
      <sz val="8"/>
      <color indexed="81"/>
      <name val="Tahoma"/>
      <family val="2"/>
    </font>
    <font>
      <b/>
      <sz val="8"/>
      <color indexed="81"/>
      <name val="Tahoma"/>
      <family val="2"/>
    </font>
    <font>
      <sz val="11"/>
      <name val="Tahoma"/>
      <family val="2"/>
    </font>
    <font>
      <b/>
      <sz val="12"/>
      <color indexed="9"/>
      <name val="Tahoma"/>
      <family val="2"/>
    </font>
    <font>
      <i/>
      <sz val="8"/>
      <name val="Tahoma"/>
      <family val="2"/>
    </font>
    <font>
      <b/>
      <i/>
      <sz val="10"/>
      <color indexed="23"/>
      <name val="Tahoma"/>
      <family val="2"/>
    </font>
    <font>
      <sz val="10"/>
      <name val="Arial"/>
      <family val="2"/>
    </font>
    <font>
      <b/>
      <sz val="18"/>
      <color theme="0"/>
      <name val="Arial"/>
      <family val="2"/>
    </font>
    <font>
      <b/>
      <sz val="10"/>
      <color theme="4" tint="-0.249977111117893"/>
      <name val="Tahoma"/>
      <family val="2"/>
    </font>
    <font>
      <sz val="18"/>
      <color theme="4" tint="-0.249977111117893"/>
      <name val="Arial"/>
      <family val="2"/>
    </font>
    <font>
      <sz val="18"/>
      <name val="Arial"/>
      <family val="2"/>
    </font>
    <font>
      <sz val="8"/>
      <color theme="0" tint="-0.499984740745262"/>
      <name val="Arial"/>
      <family val="2"/>
    </font>
    <font>
      <b/>
      <sz val="11"/>
      <color theme="4" tint="-0.249977111117893"/>
      <name val="Arial"/>
      <family val="2"/>
    </font>
    <font>
      <sz val="11"/>
      <name val="Arial"/>
      <family val="2"/>
    </font>
    <font>
      <sz val="11"/>
      <color rgb="FF000000"/>
      <name val="Arial"/>
      <family val="2"/>
    </font>
    <font>
      <sz val="10"/>
      <color indexed="12"/>
      <name val="Arial"/>
      <family val="2"/>
    </font>
    <font>
      <b/>
      <sz val="12"/>
      <name val="Arial"/>
      <family val="2"/>
    </font>
    <font>
      <b/>
      <sz val="12"/>
      <color indexed="9"/>
      <name val="Calibri"/>
      <family val="2"/>
    </font>
    <font>
      <sz val="11"/>
      <color theme="1" tint="0.34998626667073579"/>
      <name val="Calibri"/>
      <family val="2"/>
      <scheme val="minor"/>
    </font>
    <font>
      <u/>
      <sz val="11"/>
      <color indexed="12"/>
      <name val="Tahoma"/>
      <family val="2"/>
    </font>
    <font>
      <sz val="10"/>
      <name val="Calibri"/>
      <family val="2"/>
      <scheme val="minor"/>
    </font>
    <font>
      <b/>
      <sz val="10"/>
      <name val="Arial"/>
      <family val="2"/>
    </font>
    <font>
      <u/>
      <sz val="11"/>
      <color indexed="12"/>
      <name val="Arial"/>
      <family val="2"/>
    </font>
    <font>
      <sz val="11"/>
      <name val="Trebuchet MS"/>
      <family val="2"/>
    </font>
    <font>
      <sz val="12"/>
      <name val="Arial"/>
      <family val="2"/>
    </font>
    <font>
      <sz val="11"/>
      <color theme="1" tint="0.34998626667073579"/>
      <name val="Calibri"/>
      <family val="2"/>
    </font>
    <font>
      <sz val="11"/>
      <color rgb="FF000000"/>
      <name val="Tahoma"/>
      <family val="2"/>
    </font>
    <font>
      <b/>
      <sz val="11"/>
      <color rgb="FF000000"/>
      <name val="Arial"/>
      <family val="2"/>
    </font>
    <font>
      <b/>
      <sz val="12"/>
      <name val="Tahoma"/>
      <family val="2"/>
    </font>
    <font>
      <b/>
      <i/>
      <sz val="10"/>
      <name val="Tahoma"/>
      <family val="2"/>
    </font>
    <font>
      <b/>
      <sz val="11"/>
      <name val="Tahoma"/>
      <family val="2"/>
    </font>
    <font>
      <b/>
      <i/>
      <sz val="10"/>
      <color theme="5"/>
      <name val="Tahoma"/>
      <family val="2"/>
    </font>
    <font>
      <i/>
      <sz val="10"/>
      <color theme="4" tint="-0.499984740745262"/>
      <name val="Tahoma"/>
      <family val="2"/>
    </font>
    <font>
      <i/>
      <sz val="10"/>
      <color theme="5" tint="-0.499984740745262"/>
      <name val="Tahoma"/>
      <family val="2"/>
    </font>
    <font>
      <sz val="10"/>
      <color theme="1" tint="0.499984740745262"/>
      <name val="Tahoma"/>
      <family val="2"/>
    </font>
    <font>
      <sz val="11"/>
      <color theme="1" tint="0.499984740745262"/>
      <name val="Tahoma"/>
      <family val="2"/>
    </font>
    <font>
      <i/>
      <sz val="10"/>
      <color rgb="FFFF0000"/>
      <name val="Tahoma"/>
      <family val="2"/>
    </font>
    <font>
      <sz val="9"/>
      <name val="Arial"/>
      <family val="2"/>
    </font>
    <font>
      <i/>
      <sz val="8"/>
      <color indexed="81"/>
      <name val="Tahoma"/>
      <family val="2"/>
    </font>
    <font>
      <b/>
      <i/>
      <sz val="8"/>
      <color indexed="81"/>
      <name val="Tahoma"/>
      <family val="2"/>
    </font>
    <font>
      <sz val="10"/>
      <color theme="4" tint="-0.249977111117893"/>
      <name val="Tahoma"/>
      <family val="2"/>
    </font>
    <font>
      <u/>
      <sz val="12"/>
      <color indexed="12"/>
      <name val="Arial"/>
      <family val="2"/>
    </font>
    <font>
      <u/>
      <sz val="10"/>
      <color indexed="12"/>
      <name val="Arial"/>
      <family val="2"/>
    </font>
    <font>
      <sz val="12"/>
      <color theme="1"/>
      <name val="Arial"/>
      <family val="2"/>
    </font>
    <font>
      <b/>
      <sz val="9"/>
      <color indexed="81"/>
      <name val="Tahoma"/>
      <family val="2"/>
    </font>
    <font>
      <sz val="9"/>
      <color indexed="81"/>
      <name val="Tahoma"/>
      <family val="2"/>
    </font>
    <font>
      <sz val="10"/>
      <color theme="4" tint="-0.499984740745262"/>
      <name val="Tahoma"/>
      <family val="2"/>
    </font>
    <font>
      <b/>
      <sz val="10"/>
      <color theme="6" tint="-0.249977111117893"/>
      <name val="Tahoma"/>
      <family val="2"/>
    </font>
  </fonts>
  <fills count="14">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0.249977111117893"/>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79998168889431442"/>
        <bgColor indexed="64"/>
      </patternFill>
    </fill>
  </fills>
  <borders count="12">
    <border>
      <left/>
      <right/>
      <top/>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right/>
      <top/>
      <bottom style="medium">
        <color theme="4" tint="0.39994506668294322"/>
      </bottom>
      <diagonal/>
    </border>
    <border>
      <left/>
      <right/>
      <top/>
      <bottom style="medium">
        <color theme="4"/>
      </bottom>
      <diagonal/>
    </border>
    <border>
      <left/>
      <right/>
      <top/>
      <bottom style="thin">
        <color theme="4"/>
      </bottom>
      <diagonal/>
    </border>
    <border>
      <left/>
      <right style="thin">
        <color theme="4"/>
      </right>
      <top/>
      <bottom style="thin">
        <color theme="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top/>
      <bottom style="medium">
        <color theme="5" tint="0.39994506668294322"/>
      </bottom>
      <diagonal/>
    </border>
    <border>
      <left/>
      <right/>
      <top/>
      <bottom style="thin">
        <color indexed="55"/>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48" fillId="0" borderId="0" applyNumberFormat="0" applyFill="0" applyBorder="0" applyAlignment="0" applyProtection="0">
      <alignment vertical="top"/>
      <protection locked="0"/>
    </xf>
    <xf numFmtId="9" fontId="1" fillId="0" borderId="0" applyFont="0" applyFill="0" applyBorder="0" applyAlignment="0" applyProtection="0"/>
  </cellStyleXfs>
  <cellXfs count="122">
    <xf numFmtId="0" fontId="0" fillId="0" borderId="0" xfId="0"/>
    <xf numFmtId="8" fontId="0" fillId="0" borderId="0" xfId="0" applyNumberFormat="1" applyAlignment="1">
      <alignment horizontal="center"/>
    </xf>
    <xf numFmtId="0" fontId="48" fillId="0" borderId="0" xfId="3" applyAlignment="1" applyProtection="1">
      <alignment horizontal="left"/>
    </xf>
    <xf numFmtId="0" fontId="3" fillId="0" borderId="0" xfId="0" applyFont="1"/>
    <xf numFmtId="0" fontId="5" fillId="0" borderId="0" xfId="0" applyFont="1" applyAlignment="1">
      <alignment horizontal="center"/>
    </xf>
    <xf numFmtId="10" fontId="5" fillId="0" borderId="0" xfId="4" applyNumberFormat="1" applyFont="1" applyAlignment="1">
      <alignment horizontal="center"/>
    </xf>
    <xf numFmtId="3" fontId="10" fillId="0" borderId="0" xfId="1" applyNumberFormat="1" applyFont="1" applyAlignment="1">
      <alignment horizontal="right"/>
    </xf>
    <xf numFmtId="3" fontId="5" fillId="0" borderId="0" xfId="1" applyNumberFormat="1" applyFont="1" applyAlignment="1">
      <alignment horizontal="right"/>
    </xf>
    <xf numFmtId="4" fontId="5" fillId="0" borderId="0" xfId="1" applyNumberFormat="1" applyFont="1" applyAlignment="1">
      <alignment horizontal="right"/>
    </xf>
    <xf numFmtId="0" fontId="13" fillId="4" borderId="0" xfId="0" applyFont="1" applyFill="1" applyAlignment="1">
      <alignment vertical="center"/>
    </xf>
    <xf numFmtId="0" fontId="0" fillId="2" borderId="0" xfId="0" applyFill="1"/>
    <xf numFmtId="0" fontId="4" fillId="2" borderId="0" xfId="0" applyFont="1" applyFill="1" applyAlignment="1">
      <alignment horizontal="right" vertical="center" indent="1"/>
    </xf>
    <xf numFmtId="0" fontId="5" fillId="2" borderId="0" xfId="0" applyFont="1" applyFill="1" applyAlignment="1">
      <alignment horizontal="center"/>
    </xf>
    <xf numFmtId="44" fontId="5" fillId="2" borderId="0" xfId="2" applyFont="1" applyFill="1" applyAlignment="1">
      <alignment horizontal="center"/>
    </xf>
    <xf numFmtId="164" fontId="5" fillId="2" borderId="0" xfId="2" applyNumberFormat="1" applyFont="1" applyFill="1" applyAlignment="1">
      <alignment horizontal="center"/>
    </xf>
    <xf numFmtId="0" fontId="3" fillId="3" borderId="4" xfId="0" applyFont="1" applyFill="1" applyBorder="1" applyAlignment="1">
      <alignment horizontal="center" wrapText="1"/>
    </xf>
    <xf numFmtId="0" fontId="3" fillId="3" borderId="4" xfId="0" applyFont="1" applyFill="1" applyBorder="1" applyAlignment="1">
      <alignment horizontal="right" wrapText="1"/>
    </xf>
    <xf numFmtId="10" fontId="8" fillId="0" borderId="2" xfId="4" applyNumberFormat="1" applyFont="1" applyBorder="1" applyAlignment="1" applyProtection="1">
      <alignment horizontal="right"/>
      <protection locked="0"/>
    </xf>
    <xf numFmtId="0" fontId="14" fillId="0" borderId="5" xfId="0" applyFont="1" applyBorder="1"/>
    <xf numFmtId="0" fontId="15" fillId="5" borderId="0" xfId="0" applyFont="1" applyFill="1" applyAlignment="1">
      <alignment vertical="center"/>
    </xf>
    <xf numFmtId="0" fontId="16" fillId="5" borderId="0" xfId="0" applyFont="1" applyFill="1" applyAlignment="1">
      <alignment vertical="center"/>
    </xf>
    <xf numFmtId="0" fontId="12" fillId="0" borderId="0" xfId="0" applyFont="1"/>
    <xf numFmtId="0" fontId="17" fillId="0" borderId="0" xfId="0" applyFont="1" applyAlignment="1">
      <alignment horizontal="right"/>
    </xf>
    <xf numFmtId="0" fontId="18" fillId="0" borderId="5" xfId="0" applyFont="1" applyBorder="1"/>
    <xf numFmtId="0" fontId="19" fillId="0" borderId="5" xfId="0" applyFont="1" applyBorder="1" applyAlignment="1">
      <alignment vertical="top"/>
    </xf>
    <xf numFmtId="0" fontId="20" fillId="0" borderId="0" xfId="0" applyFont="1" applyAlignment="1">
      <alignment horizontal="left" vertical="top" wrapText="1" readingOrder="1"/>
    </xf>
    <xf numFmtId="0" fontId="21" fillId="0" borderId="0" xfId="0" applyFont="1"/>
    <xf numFmtId="0" fontId="19" fillId="0" borderId="0" xfId="0" applyFont="1" applyAlignment="1">
      <alignment horizontal="right" vertical="top"/>
    </xf>
    <xf numFmtId="0" fontId="19" fillId="0" borderId="0" xfId="0" applyFont="1" applyAlignment="1">
      <alignment vertical="top" wrapText="1"/>
    </xf>
    <xf numFmtId="0" fontId="23" fillId="6" borderId="0" xfId="0" applyFont="1" applyFill="1"/>
    <xf numFmtId="0" fontId="24" fillId="5" borderId="0" xfId="0" applyFont="1" applyFill="1" applyAlignment="1">
      <alignment horizontal="center"/>
    </xf>
    <xf numFmtId="0" fontId="25" fillId="0" borderId="0" xfId="3" applyFont="1" applyAlignment="1" applyProtection="1">
      <alignment horizontal="left" indent="1"/>
    </xf>
    <xf numFmtId="0" fontId="26" fillId="0" borderId="0" xfId="0" applyFont="1"/>
    <xf numFmtId="0" fontId="27" fillId="0" borderId="0" xfId="0" applyFont="1"/>
    <xf numFmtId="0" fontId="28" fillId="0" borderId="0" xfId="0" applyFont="1" applyAlignment="1">
      <alignment horizontal="left" indent="1"/>
    </xf>
    <xf numFmtId="0" fontId="19" fillId="0" borderId="0" xfId="0" applyFont="1"/>
    <xf numFmtId="0" fontId="15" fillId="5" borderId="0" xfId="0" applyFont="1" applyFill="1" applyAlignment="1">
      <alignment horizontal="left" vertical="center"/>
    </xf>
    <xf numFmtId="0" fontId="29" fillId="0" borderId="0" xfId="0" applyFont="1" applyAlignment="1">
      <alignment horizontal="left" vertical="top" wrapText="1"/>
    </xf>
    <xf numFmtId="0" fontId="12" fillId="7" borderId="0" xfId="0" applyFont="1" applyFill="1"/>
    <xf numFmtId="0" fontId="19" fillId="0" borderId="7" xfId="0" applyFont="1" applyBorder="1"/>
    <xf numFmtId="0" fontId="0" fillId="7" borderId="0" xfId="0" applyFill="1"/>
    <xf numFmtId="0" fontId="48" fillId="0" borderId="0" xfId="3" applyAlignment="1" applyProtection="1">
      <alignment horizontal="left" vertical="top"/>
    </xf>
    <xf numFmtId="0" fontId="30" fillId="0" borderId="8" xfId="0" applyFont="1" applyBorder="1" applyAlignment="1">
      <alignment horizontal="left" wrapText="1"/>
    </xf>
    <xf numFmtId="0" fontId="22" fillId="0" borderId="9" xfId="0" applyFont="1" applyBorder="1" applyAlignment="1">
      <alignment horizontal="left" wrapText="1"/>
    </xf>
    <xf numFmtId="0" fontId="18" fillId="7" borderId="0" xfId="0" applyFont="1" applyFill="1"/>
    <xf numFmtId="0" fontId="30" fillId="0" borderId="9" xfId="0" applyFont="1" applyBorder="1" applyAlignment="1">
      <alignment horizontal="left" wrapText="1"/>
    </xf>
    <xf numFmtId="0" fontId="12" fillId="7" borderId="0" xfId="0" applyFont="1" applyFill="1" applyAlignment="1">
      <alignment vertical="top"/>
    </xf>
    <xf numFmtId="0" fontId="19" fillId="7" borderId="0" xfId="0" applyFont="1" applyFill="1" applyAlignment="1">
      <alignment horizontal="right" vertical="top"/>
    </xf>
    <xf numFmtId="0" fontId="30" fillId="0" borderId="9" xfId="0" applyFont="1" applyBorder="1" applyAlignment="1">
      <alignment horizontal="left"/>
    </xf>
    <xf numFmtId="0" fontId="29" fillId="7" borderId="0" xfId="0" applyFont="1" applyFill="1" applyAlignment="1">
      <alignment horizontal="left" vertical="top" wrapText="1"/>
    </xf>
    <xf numFmtId="0" fontId="19" fillId="7" borderId="0" xfId="0" applyFont="1" applyFill="1" applyAlignment="1">
      <alignment vertical="top"/>
    </xf>
    <xf numFmtId="0" fontId="19" fillId="7" borderId="0" xfId="0" applyFont="1" applyFill="1" applyAlignment="1">
      <alignment vertical="top" wrapText="1"/>
    </xf>
    <xf numFmtId="0" fontId="0" fillId="7" borderId="0" xfId="0" applyFill="1" applyAlignment="1">
      <alignment horizontal="right" vertical="top"/>
    </xf>
    <xf numFmtId="0" fontId="23" fillId="7" borderId="0" xfId="0" applyFont="1" applyFill="1"/>
    <xf numFmtId="0" fontId="31" fillId="7" borderId="0" xfId="0" applyFont="1" applyFill="1" applyAlignment="1">
      <alignment horizontal="center"/>
    </xf>
    <xf numFmtId="0" fontId="25" fillId="7" borderId="0" xfId="3" applyFont="1" applyFill="1" applyAlignment="1" applyProtection="1">
      <alignment horizontal="left" indent="1"/>
    </xf>
    <xf numFmtId="0" fontId="28" fillId="7" borderId="0" xfId="0" applyFont="1" applyFill="1" applyAlignment="1">
      <alignment horizontal="left" indent="1"/>
    </xf>
    <xf numFmtId="0" fontId="19" fillId="7" borderId="0" xfId="0" applyFont="1" applyFill="1"/>
    <xf numFmtId="0" fontId="32" fillId="0" borderId="0" xfId="0" applyFont="1" applyAlignment="1">
      <alignment horizontal="left" vertical="center" wrapText="1" readingOrder="1"/>
    </xf>
    <xf numFmtId="0" fontId="33" fillId="0" borderId="0" xfId="0" applyFont="1" applyAlignment="1">
      <alignment horizontal="left" vertical="top" wrapText="1" readingOrder="1"/>
    </xf>
    <xf numFmtId="0" fontId="1" fillId="5" borderId="0" xfId="0" applyFont="1" applyFill="1" applyAlignment="1">
      <alignment horizontal="right" vertical="center"/>
    </xf>
    <xf numFmtId="0" fontId="1" fillId="0" borderId="0" xfId="0" applyFont="1"/>
    <xf numFmtId="0" fontId="1" fillId="0" borderId="0" xfId="0" applyFont="1" applyAlignment="1">
      <alignment vertical="top"/>
    </xf>
    <xf numFmtId="0" fontId="1" fillId="0" borderId="6" xfId="0" applyFont="1" applyBorder="1" applyAlignment="1">
      <alignment vertical="top"/>
    </xf>
    <xf numFmtId="0" fontId="1" fillId="6" borderId="0" xfId="0" applyFont="1" applyFill="1" applyAlignment="1">
      <alignment horizontal="right" vertical="top"/>
    </xf>
    <xf numFmtId="0" fontId="1" fillId="6" borderId="0" xfId="0" applyFont="1" applyFill="1"/>
    <xf numFmtId="43" fontId="1" fillId="0" borderId="0" xfId="0" applyNumberFormat="1" applyFont="1"/>
    <xf numFmtId="0" fontId="0" fillId="2" borderId="0" xfId="0" applyFill="1" applyAlignment="1">
      <alignment horizontal="right" vertical="center" indent="1"/>
    </xf>
    <xf numFmtId="0" fontId="27" fillId="3" borderId="4" xfId="0" applyFont="1" applyFill="1" applyBorder="1" applyAlignment="1">
      <alignment horizontal="center" wrapText="1"/>
    </xf>
    <xf numFmtId="0" fontId="0" fillId="8" borderId="0" xfId="0" applyFill="1"/>
    <xf numFmtId="8" fontId="0" fillId="0" borderId="0" xfId="0" applyNumberFormat="1" applyAlignment="1">
      <alignment horizontal="left"/>
    </xf>
    <xf numFmtId="10" fontId="0" fillId="0" borderId="0" xfId="4" applyNumberFormat="1" applyFont="1"/>
    <xf numFmtId="0" fontId="9" fillId="4" borderId="3" xfId="0" applyFont="1" applyFill="1" applyBorder="1" applyAlignment="1">
      <alignment vertical="center"/>
    </xf>
    <xf numFmtId="0" fontId="34" fillId="0" borderId="0" xfId="0" applyFont="1" applyAlignment="1">
      <alignment vertical="center"/>
    </xf>
    <xf numFmtId="37" fontId="8" fillId="0" borderId="1" xfId="2" applyNumberFormat="1" applyFont="1" applyBorder="1" applyAlignment="1" applyProtection="1">
      <alignment horizontal="right" vertical="center"/>
      <protection locked="0"/>
    </xf>
    <xf numFmtId="37" fontId="8" fillId="5" borderId="0" xfId="2" applyNumberFormat="1" applyFont="1" applyFill="1" applyAlignment="1">
      <alignment horizontal="right" vertical="center"/>
    </xf>
    <xf numFmtId="165" fontId="0" fillId="0" borderId="0" xfId="0" applyNumberFormat="1" applyAlignment="1">
      <alignment horizontal="right"/>
    </xf>
    <xf numFmtId="0" fontId="8" fillId="0" borderId="1" xfId="0" applyFont="1" applyBorder="1" applyAlignment="1" applyProtection="1">
      <alignment horizontal="right" indent="1"/>
      <protection locked="0"/>
    </xf>
    <xf numFmtId="0" fontId="0" fillId="3" borderId="4" xfId="0" applyFill="1" applyBorder="1" applyAlignment="1">
      <alignment horizontal="center" wrapText="1"/>
    </xf>
    <xf numFmtId="44" fontId="0" fillId="0" borderId="0" xfId="0" applyNumberFormat="1"/>
    <xf numFmtId="10" fontId="8" fillId="0" borderId="1" xfId="4" applyNumberFormat="1" applyFont="1" applyBorder="1" applyAlignment="1" applyProtection="1">
      <alignment horizontal="right"/>
      <protection locked="0"/>
    </xf>
    <xf numFmtId="0" fontId="8" fillId="0" borderId="2" xfId="0" applyFont="1" applyBorder="1" applyAlignment="1" applyProtection="1">
      <alignment horizontal="right" indent="1"/>
      <protection locked="0"/>
    </xf>
    <xf numFmtId="0" fontId="0" fillId="5" borderId="0" xfId="0" applyFill="1"/>
    <xf numFmtId="0" fontId="35" fillId="5" borderId="0" xfId="0" applyFont="1" applyFill="1" applyAlignment="1">
      <alignment horizontal="right" vertical="center" indent="1"/>
    </xf>
    <xf numFmtId="0" fontId="0" fillId="5" borderId="0" xfId="0" applyFill="1" applyAlignment="1">
      <alignment horizontal="right" indent="1"/>
    </xf>
    <xf numFmtId="8" fontId="0" fillId="5" borderId="0" xfId="0" applyNumberFormat="1" applyFill="1" applyAlignment="1">
      <alignment horizontal="left"/>
    </xf>
    <xf numFmtId="0" fontId="0" fillId="5" borderId="0" xfId="0" applyFill="1" applyAlignment="1">
      <alignment horizontal="right" vertical="center" indent="1"/>
    </xf>
    <xf numFmtId="37" fontId="8" fillId="2" borderId="0" xfId="2" applyNumberFormat="1" applyFont="1" applyFill="1" applyAlignment="1">
      <alignment horizontal="right" vertical="center"/>
    </xf>
    <xf numFmtId="0" fontId="4" fillId="3" borderId="0" xfId="0" applyFont="1" applyFill="1" applyAlignment="1">
      <alignment horizontal="right" vertical="center" indent="1"/>
    </xf>
    <xf numFmtId="0" fontId="9" fillId="9" borderId="10" xfId="0" applyFont="1" applyFill="1" applyBorder="1" applyAlignment="1">
      <alignment vertical="center"/>
    </xf>
    <xf numFmtId="0" fontId="38" fillId="3" borderId="0" xfId="0" applyFont="1" applyFill="1"/>
    <xf numFmtId="0" fontId="39" fillId="10" borderId="0" xfId="0" applyFont="1" applyFill="1"/>
    <xf numFmtId="0" fontId="11" fillId="10" borderId="0" xfId="0" applyFont="1" applyFill="1" applyAlignment="1">
      <alignment horizontal="right" vertical="center" indent="1"/>
    </xf>
    <xf numFmtId="0" fontId="37" fillId="10" borderId="0" xfId="0" applyFont="1" applyFill="1" applyAlignment="1">
      <alignment horizontal="right" vertical="center" indent="1"/>
    </xf>
    <xf numFmtId="37" fontId="8" fillId="7" borderId="1" xfId="2" applyNumberFormat="1" applyFont="1" applyFill="1" applyBorder="1" applyAlignment="1" applyProtection="1">
      <alignment horizontal="right" vertical="center"/>
      <protection locked="0"/>
    </xf>
    <xf numFmtId="0" fontId="40" fillId="0" borderId="0" xfId="0" applyFont="1"/>
    <xf numFmtId="0" fontId="40" fillId="0" borderId="0" xfId="0" applyFont="1" applyAlignment="1">
      <alignment horizontal="right" vertical="center" indent="1"/>
    </xf>
    <xf numFmtId="0" fontId="41" fillId="0" borderId="0" xfId="0" applyFont="1" applyAlignment="1" applyProtection="1">
      <alignment horizontal="center"/>
      <protection locked="0"/>
    </xf>
    <xf numFmtId="0" fontId="0" fillId="11" borderId="0" xfId="0" applyFill="1"/>
    <xf numFmtId="0" fontId="3" fillId="11" borderId="0" xfId="0" applyFont="1" applyFill="1" applyAlignment="1">
      <alignment horizontal="right" indent="1"/>
    </xf>
    <xf numFmtId="0" fontId="0" fillId="13" borderId="0" xfId="0" applyFill="1"/>
    <xf numFmtId="0" fontId="0" fillId="13" borderId="0" xfId="0" applyFill="1" applyAlignment="1">
      <alignment horizontal="right" indent="1"/>
    </xf>
    <xf numFmtId="10" fontId="0" fillId="13" borderId="0" xfId="4" applyNumberFormat="1" applyFont="1" applyFill="1"/>
    <xf numFmtId="10" fontId="8" fillId="11" borderId="0" xfId="4" applyNumberFormat="1" applyFont="1" applyFill="1" applyAlignment="1">
      <alignment horizontal="right" vertical="center"/>
    </xf>
    <xf numFmtId="0" fontId="0" fillId="0" borderId="0" xfId="0" applyAlignment="1">
      <alignment horizontal="right"/>
    </xf>
    <xf numFmtId="37" fontId="42" fillId="2" borderId="0" xfId="2" applyNumberFormat="1" applyFont="1" applyFill="1" applyAlignment="1">
      <alignment horizontal="right" vertical="center"/>
    </xf>
    <xf numFmtId="166" fontId="8" fillId="11" borderId="0" xfId="2" applyNumberFormat="1" applyFont="1" applyFill="1" applyAlignment="1">
      <alignment horizontal="right" vertical="center"/>
    </xf>
    <xf numFmtId="0" fontId="30" fillId="0" borderId="0" xfId="0" applyFont="1" applyAlignment="1">
      <alignment horizontal="right"/>
    </xf>
    <xf numFmtId="0" fontId="43" fillId="0" borderId="0" xfId="0" applyFont="1" applyAlignment="1">
      <alignment horizontal="left"/>
    </xf>
    <xf numFmtId="37" fontId="0" fillId="5" borderId="0" xfId="0" applyNumberFormat="1" applyFill="1"/>
    <xf numFmtId="0" fontId="8" fillId="2" borderId="0" xfId="0" applyFont="1" applyFill="1" applyAlignment="1">
      <alignment horizontal="right" indent="1"/>
    </xf>
    <xf numFmtId="0" fontId="4" fillId="0" borderId="0" xfId="0" applyFont="1" applyAlignment="1">
      <alignment horizontal="right" vertical="center" indent="1"/>
    </xf>
    <xf numFmtId="0" fontId="0" fillId="0" borderId="0" xfId="0" applyAlignment="1">
      <alignment horizontal="right" vertical="center" indent="1"/>
    </xf>
    <xf numFmtId="166" fontId="8" fillId="0" borderId="0" xfId="2" applyNumberFormat="1" applyFont="1" applyAlignment="1">
      <alignment horizontal="right" vertical="center"/>
    </xf>
    <xf numFmtId="0" fontId="46" fillId="0" borderId="0" xfId="0" applyFont="1"/>
    <xf numFmtId="0" fontId="47" fillId="0" borderId="9" xfId="3" applyFont="1" applyBorder="1" applyAlignment="1" applyProtection="1">
      <alignment horizontal="left" wrapText="1"/>
    </xf>
    <xf numFmtId="0" fontId="49" fillId="0" borderId="9" xfId="0" applyFont="1" applyBorder="1" applyAlignment="1">
      <alignment horizontal="left" wrapText="1"/>
    </xf>
    <xf numFmtId="0" fontId="52" fillId="2" borderId="0" xfId="0" applyFont="1" applyFill="1" applyAlignment="1">
      <alignment horizontal="right" vertical="center" indent="1"/>
    </xf>
    <xf numFmtId="0" fontId="53" fillId="0" borderId="0" xfId="0" applyFont="1" applyAlignment="1">
      <alignment horizontal="right"/>
    </xf>
    <xf numFmtId="167" fontId="36" fillId="12" borderId="0" xfId="2" applyNumberFormat="1" applyFont="1" applyFill="1" applyAlignment="1">
      <alignment horizontal="right" vertical="center"/>
    </xf>
    <xf numFmtId="167" fontId="8" fillId="11" borderId="0" xfId="2" applyNumberFormat="1" applyFont="1" applyFill="1" applyAlignment="1">
      <alignment horizontal="right" vertical="center"/>
    </xf>
    <xf numFmtId="0" fontId="1" fillId="0" borderId="11" xfId="0" applyFont="1" applyBorder="1" applyAlignment="1">
      <alignment horizontal="left"/>
    </xf>
  </cellXfs>
  <cellStyles count="5">
    <cellStyle name="Comma" xfId="1" builtinId="3"/>
    <cellStyle name="Currency" xfId="2" builtinId="4"/>
    <cellStyle name="Hyperlink" xfId="3" builtinId="8" customBuiltin="1"/>
    <cellStyle name="Normal" xfId="0" builtinId="0"/>
    <cellStyle name="Percent" xfId="4" builtinId="5"/>
  </cellStyles>
  <dxfs count="6">
    <dxf>
      <font>
        <color theme="0"/>
      </font>
      <fill>
        <patternFill>
          <bgColor rgb="FFFF5050"/>
        </patternFill>
      </fill>
    </dxf>
    <dxf>
      <font>
        <color theme="0"/>
      </font>
      <fill>
        <patternFill>
          <bgColor rgb="FFFF5050"/>
        </patternFill>
      </fill>
    </dxf>
    <dxf>
      <font>
        <condense val="0"/>
        <extend val="0"/>
        <color indexed="55"/>
      </font>
      <fill>
        <patternFill>
          <bgColor indexed="22"/>
        </patternFill>
      </fill>
    </dxf>
    <dxf>
      <fill>
        <patternFill>
          <bgColor indexed="22"/>
        </patternFill>
      </fill>
    </dxf>
    <dxf>
      <font>
        <condense val="0"/>
        <extend val="0"/>
        <color indexed="22"/>
      </font>
    </dxf>
    <dxf>
      <font>
        <condense val="0"/>
        <extend val="0"/>
        <color indexed="55"/>
      </font>
      <fill>
        <patternFill>
          <bgColor indexed="2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EAEAEA"/>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Retirement Savings Balance</a:t>
            </a:r>
          </a:p>
        </c:rich>
      </c:tx>
      <c:layout>
        <c:manualLayout>
          <c:xMode val="edge"/>
          <c:yMode val="edge"/>
          <c:x val="0.16970482090473984"/>
          <c:y val="3.4364261168384883E-2"/>
        </c:manualLayout>
      </c:layout>
      <c:overlay val="0"/>
    </c:title>
    <c:autoTitleDeleted val="0"/>
    <c:plotArea>
      <c:layout>
        <c:manualLayout>
          <c:layoutTarget val="inner"/>
          <c:xMode val="edge"/>
          <c:yMode val="edge"/>
          <c:x val="0.13525358962482634"/>
          <c:y val="5.9373055172227185E-2"/>
          <c:w val="0.82115980906798414"/>
          <c:h val="0.79250931262458169"/>
        </c:manualLayout>
      </c:layout>
      <c:scatterChart>
        <c:scatterStyle val="lineMarker"/>
        <c:varyColors val="0"/>
        <c:ser>
          <c:idx val="0"/>
          <c:order val="0"/>
          <c:tx>
            <c:strRef>
              <c:f>Retirement!$E$41</c:f>
              <c:strCache>
                <c:ptCount val="1"/>
                <c:pt idx="0">
                  <c:v>Goal: Saving 5.02% of Salary</c:v>
                </c:pt>
              </c:strCache>
            </c:strRef>
          </c:tx>
          <c:spPr>
            <a:ln w="25400">
              <a:solidFill>
                <a:srgbClr val="000080"/>
              </a:solidFill>
              <a:prstDash val="solid"/>
            </a:ln>
          </c:spPr>
          <c:marker>
            <c:symbol val="none"/>
          </c:marker>
          <c:errBars>
            <c:errDir val="y"/>
            <c:errBarType val="minus"/>
            <c:errValType val="percentage"/>
            <c:noEndCap val="1"/>
            <c:val val="100"/>
            <c:spPr>
              <a:ln w="38100" cmpd="sng">
                <a:solidFill>
                  <a:schemeClr val="accent1">
                    <a:lumMod val="40000"/>
                    <a:lumOff val="60000"/>
                  </a:schemeClr>
                </a:solidFill>
              </a:ln>
            </c:spPr>
          </c:errBars>
          <c:xVal>
            <c:numRef>
              <c:f>Retirement!$B$49:$B$123</c:f>
              <c:numCache>
                <c:formatCode>General</c:formatCode>
                <c:ptCount val="75"/>
                <c:pt idx="0">
                  <c:v>25</c:v>
                </c:pt>
                <c:pt idx="1">
                  <c:v>26</c:v>
                </c:pt>
                <c:pt idx="2">
                  <c:v>27</c:v>
                </c:pt>
                <c:pt idx="3">
                  <c:v>28</c:v>
                </c:pt>
                <c:pt idx="4">
                  <c:v>29</c:v>
                </c:pt>
                <c:pt idx="5">
                  <c:v>30</c:v>
                </c:pt>
                <c:pt idx="6">
                  <c:v>31</c:v>
                </c:pt>
                <c:pt idx="7">
                  <c:v>32</c:v>
                </c:pt>
                <c:pt idx="8">
                  <c:v>33</c:v>
                </c:pt>
                <c:pt idx="9">
                  <c:v>34</c:v>
                </c:pt>
                <c:pt idx="10">
                  <c:v>35</c:v>
                </c:pt>
                <c:pt idx="11">
                  <c:v>36</c:v>
                </c:pt>
                <c:pt idx="12">
                  <c:v>37</c:v>
                </c:pt>
                <c:pt idx="13">
                  <c:v>38</c:v>
                </c:pt>
                <c:pt idx="14">
                  <c:v>39</c:v>
                </c:pt>
                <c:pt idx="15">
                  <c:v>40</c:v>
                </c:pt>
                <c:pt idx="16">
                  <c:v>41</c:v>
                </c:pt>
                <c:pt idx="17">
                  <c:v>42</c:v>
                </c:pt>
                <c:pt idx="18">
                  <c:v>43</c:v>
                </c:pt>
                <c:pt idx="19">
                  <c:v>44</c:v>
                </c:pt>
                <c:pt idx="20">
                  <c:v>45</c:v>
                </c:pt>
                <c:pt idx="21">
                  <c:v>46</c:v>
                </c:pt>
                <c:pt idx="22">
                  <c:v>47</c:v>
                </c:pt>
                <c:pt idx="23">
                  <c:v>48</c:v>
                </c:pt>
                <c:pt idx="24">
                  <c:v>49</c:v>
                </c:pt>
                <c:pt idx="25">
                  <c:v>50</c:v>
                </c:pt>
                <c:pt idx="26">
                  <c:v>51</c:v>
                </c:pt>
                <c:pt idx="27">
                  <c:v>52</c:v>
                </c:pt>
                <c:pt idx="28">
                  <c:v>53</c:v>
                </c:pt>
                <c:pt idx="29">
                  <c:v>54</c:v>
                </c:pt>
                <c:pt idx="30">
                  <c:v>55</c:v>
                </c:pt>
                <c:pt idx="31">
                  <c:v>56</c:v>
                </c:pt>
                <c:pt idx="32">
                  <c:v>57</c:v>
                </c:pt>
                <c:pt idx="33">
                  <c:v>58</c:v>
                </c:pt>
                <c:pt idx="34">
                  <c:v>59</c:v>
                </c:pt>
                <c:pt idx="35">
                  <c:v>60</c:v>
                </c:pt>
                <c:pt idx="36">
                  <c:v>61</c:v>
                </c:pt>
                <c:pt idx="37">
                  <c:v>62</c:v>
                </c:pt>
                <c:pt idx="38">
                  <c:v>63</c:v>
                </c:pt>
                <c:pt idx="39">
                  <c:v>64</c:v>
                </c:pt>
                <c:pt idx="40">
                  <c:v>65</c:v>
                </c:pt>
                <c:pt idx="41">
                  <c:v>66</c:v>
                </c:pt>
                <c:pt idx="42">
                  <c:v>67</c:v>
                </c:pt>
                <c:pt idx="43">
                  <c:v>68</c:v>
                </c:pt>
                <c:pt idx="44">
                  <c:v>69</c:v>
                </c:pt>
                <c:pt idx="45">
                  <c:v>70</c:v>
                </c:pt>
                <c:pt idx="46">
                  <c:v>71</c:v>
                </c:pt>
                <c:pt idx="47">
                  <c:v>72</c:v>
                </c:pt>
                <c:pt idx="48">
                  <c:v>73</c:v>
                </c:pt>
                <c:pt idx="49">
                  <c:v>74</c:v>
                </c:pt>
                <c:pt idx="50">
                  <c:v>75</c:v>
                </c:pt>
                <c:pt idx="51">
                  <c:v>76</c:v>
                </c:pt>
                <c:pt idx="52">
                  <c:v>77</c:v>
                </c:pt>
                <c:pt idx="53">
                  <c:v>78</c:v>
                </c:pt>
                <c:pt idx="54">
                  <c:v>79</c:v>
                </c:pt>
                <c:pt idx="55">
                  <c:v>80</c:v>
                </c:pt>
                <c:pt idx="56">
                  <c:v>81</c:v>
                </c:pt>
                <c:pt idx="57">
                  <c:v>82</c:v>
                </c:pt>
                <c:pt idx="58">
                  <c:v>83</c:v>
                </c:pt>
                <c:pt idx="59">
                  <c:v>84</c:v>
                </c:pt>
                <c:pt idx="60">
                  <c:v>85</c:v>
                </c:pt>
                <c:pt idx="61">
                  <c:v>86</c:v>
                </c:pt>
                <c:pt idx="62">
                  <c:v>87</c:v>
                </c:pt>
                <c:pt idx="63">
                  <c:v>88</c:v>
                </c:pt>
                <c:pt idx="64">
                  <c:v>89</c:v>
                </c:pt>
                <c:pt idx="65">
                  <c:v>#N/A</c:v>
                </c:pt>
                <c:pt idx="66">
                  <c:v>#N/A</c:v>
                </c:pt>
                <c:pt idx="67">
                  <c:v>#N/A</c:v>
                </c:pt>
                <c:pt idx="68">
                  <c:v>#N/A</c:v>
                </c:pt>
                <c:pt idx="69">
                  <c:v>#N/A</c:v>
                </c:pt>
                <c:pt idx="70">
                  <c:v>#N/A</c:v>
                </c:pt>
                <c:pt idx="71">
                  <c:v>#N/A</c:v>
                </c:pt>
                <c:pt idx="72">
                  <c:v>#N/A</c:v>
                </c:pt>
                <c:pt idx="73">
                  <c:v>#N/A</c:v>
                </c:pt>
                <c:pt idx="74">
                  <c:v>#N/A</c:v>
                </c:pt>
              </c:numCache>
            </c:numRef>
          </c:xVal>
          <c:yVal>
            <c:numRef>
              <c:f>Retirement!$K$49:$K$123</c:f>
              <c:numCache>
                <c:formatCode>#,##0.00</c:formatCode>
                <c:ptCount val="75"/>
                <c:pt idx="0">
                  <c:v>3008.5688987317317</c:v>
                </c:pt>
                <c:pt idx="1">
                  <c:v>6317.9946873366362</c:v>
                </c:pt>
                <c:pt idx="2">
                  <c:v>9953.5493445640604</c:v>
                </c:pt>
                <c:pt idx="3">
                  <c:v>13942.550676014489</c:v>
                </c:pt>
                <c:pt idx="4">
                  <c:v>18314.526461658657</c:v>
                </c:pt>
                <c:pt idx="5">
                  <c:v>23101.391744785622</c:v>
                </c:pt>
                <c:pt idx="6">
                  <c:v>28337.640313886626</c:v>
                </c:pt>
                <c:pt idx="7">
                  <c:v>34060.551513106075</c:v>
                </c:pt>
                <c:pt idx="8">
                  <c:v>40310.413607745249</c:v>
                </c:pt>
                <c:pt idx="9">
                  <c:v>47130.76502942737</c:v>
                </c:pt>
                <c:pt idx="10">
                  <c:v>54568.654931505313</c:v>
                </c:pt>
                <c:pt idx="11">
                  <c:v>62674.924599743965</c:v>
                </c:pt>
                <c:pt idx="12">
                  <c:v>71504.511386916085</c:v>
                </c:pt>
                <c:pt idx="13">
                  <c:v>81116.776973445827</c:v>
                </c:pt>
                <c:pt idx="14">
                  <c:v>91575.861900409465</c:v>
                </c:pt>
                <c:pt idx="15">
                  <c:v>102951.06847691195</c:v>
                </c:pt>
                <c:pt idx="16">
                  <c:v>115317.27433202404</c:v>
                </c:pt>
                <c:pt idx="17">
                  <c:v>128755.37906308429</c:v>
                </c:pt>
                <c:pt idx="18">
                  <c:v>143352.78662831933</c:v>
                </c:pt>
                <c:pt idx="19">
                  <c:v>159203.92634357692</c:v>
                </c:pt>
                <c:pt idx="20">
                  <c:v>176410.81557175497</c:v>
                </c:pt>
                <c:pt idx="21">
                  <c:v>195083.6674406011</c:v>
                </c:pt>
                <c:pt idx="22">
                  <c:v>215341.54719141702</c:v>
                </c:pt>
                <c:pt idx="23">
                  <c:v>237313.08104940961</c:v>
                </c:pt>
                <c:pt idx="24">
                  <c:v>261137.22181769516</c:v>
                </c:pt>
                <c:pt idx="25">
                  <c:v>286964.07573313022</c:v>
                </c:pt>
                <c:pt idx="26">
                  <c:v>314955.79548520048</c:v>
                </c:pt>
                <c:pt idx="27">
                  <c:v>345287.54469130479</c:v>
                </c:pt>
                <c:pt idx="28">
                  <c:v>378148.5395452432</c:v>
                </c:pt>
                <c:pt idx="29">
                  <c:v>413743.17381306936</c:v>
                </c:pt>
                <c:pt idx="30">
                  <c:v>452292.23384440574</c:v>
                </c:pt>
                <c:pt idx="31">
                  <c:v>494034.21080077486</c:v>
                </c:pt>
                <c:pt idx="32">
                  <c:v>539226.7178786298</c:v>
                </c:pt>
                <c:pt idx="33">
                  <c:v>588148.02092698903</c:v>
                </c:pt>
                <c:pt idx="34">
                  <c:v>641098.69153157843</c:v>
                </c:pt>
                <c:pt idx="35">
                  <c:v>698403.3923631435</c:v>
                </c:pt>
                <c:pt idx="36">
                  <c:v>760412.80537141464</c:v>
                </c:pt>
                <c:pt idx="37">
                  <c:v>827505.71425273188</c:v>
                </c:pt>
                <c:pt idx="38">
                  <c:v>900091.25353358651</c:v>
                </c:pt>
                <c:pt idx="39">
                  <c:v>978611.3375997222</c:v>
                </c:pt>
                <c:pt idx="40">
                  <c:v>967650.89061860531</c:v>
                </c:pt>
                <c:pt idx="41">
                  <c:v>955152.06661478174</c:v>
                </c:pt>
                <c:pt idx="42">
                  <c:v>941032.42736917199</c:v>
                </c:pt>
                <c:pt idx="43">
                  <c:v>925205.97290887241</c:v>
                </c:pt>
                <c:pt idx="44">
                  <c:v>907583.00199632253</c:v>
                </c:pt>
                <c:pt idx="45">
                  <c:v>888069.96745340177</c:v>
                </c:pt>
                <c:pt idx="46">
                  <c:v>866569.32613610895</c:v>
                </c:pt>
                <c:pt idx="47">
                  <c:v>842979.38336907048</c:v>
                </c:pt>
                <c:pt idx="48">
                  <c:v>817194.13164248713</c:v>
                </c:pt>
                <c:pt idx="49">
                  <c:v>789103.0833672767</c:v>
                </c:pt>
                <c:pt idx="50">
                  <c:v>758591.09747707541</c:v>
                </c:pt>
                <c:pt idx="51">
                  <c:v>725538.19965843146</c:v>
                </c:pt>
                <c:pt idx="52">
                  <c:v>689819.39598293952</c:v>
                </c:pt>
                <c:pt idx="53">
                  <c:v>651304.47970722546</c:v>
                </c:pt>
                <c:pt idx="54">
                  <c:v>609857.83099858393</c:v>
                </c:pt>
                <c:pt idx="55">
                  <c:v>565338.20933568734</c:v>
                </c:pt>
                <c:pt idx="56">
                  <c:v>517598.53832511837</c:v>
                </c:pt>
                <c:pt idx="57">
                  <c:v>466485.68266551313</c:v>
                </c:pt>
                <c:pt idx="58">
                  <c:v>411840.21698183892</c:v>
                </c:pt>
                <c:pt idx="59">
                  <c:v>353496.18624274532</c:v>
                </c:pt>
                <c:pt idx="60">
                  <c:v>291280.85746402247</c:v>
                </c:pt>
                <c:pt idx="61">
                  <c:v>225014.46239095781</c:v>
                </c:pt>
                <c:pt idx="62">
                  <c:v>154509.93084179159</c:v>
                </c:pt>
                <c:pt idx="63">
                  <c:v>79572.614383523542</c:v>
                </c:pt>
                <c:pt idx="64">
                  <c:v>1.8044374883174896E-9</c:v>
                </c:pt>
                <c:pt idx="65">
                  <c:v>#N/A</c:v>
                </c:pt>
                <c:pt idx="66">
                  <c:v>#N/A</c:v>
                </c:pt>
                <c:pt idx="67">
                  <c:v>#N/A</c:v>
                </c:pt>
                <c:pt idx="68">
                  <c:v>#N/A</c:v>
                </c:pt>
                <c:pt idx="69">
                  <c:v>#N/A</c:v>
                </c:pt>
                <c:pt idx="70">
                  <c:v>#N/A</c:v>
                </c:pt>
                <c:pt idx="71">
                  <c:v>#N/A</c:v>
                </c:pt>
                <c:pt idx="72">
                  <c:v>#N/A</c:v>
                </c:pt>
                <c:pt idx="73">
                  <c:v>#N/A</c:v>
                </c:pt>
                <c:pt idx="74">
                  <c:v>#N/A</c:v>
                </c:pt>
              </c:numCache>
            </c:numRef>
          </c:yVal>
          <c:smooth val="0"/>
          <c:extLst xmlns:c16r2="http://schemas.microsoft.com/office/drawing/2015/06/chart">
            <c:ext xmlns:c16="http://schemas.microsoft.com/office/drawing/2014/chart" uri="{C3380CC4-5D6E-409C-BE32-E72D297353CC}">
              <c16:uniqueId val="{00000000-E941-48F1-84A9-5EDD578CBE79}"/>
            </c:ext>
          </c:extLst>
        </c:ser>
        <c:ser>
          <c:idx val="1"/>
          <c:order val="1"/>
          <c:tx>
            <c:strRef>
              <c:f>Retirement!$E$42</c:f>
              <c:strCache>
                <c:ptCount val="1"/>
                <c:pt idx="0">
                  <c:v>Current: Saving 5% of Salary</c:v>
                </c:pt>
              </c:strCache>
            </c:strRef>
          </c:tx>
          <c:spPr>
            <a:ln w="25400">
              <a:solidFill>
                <a:srgbClr val="C00000"/>
              </a:solidFill>
            </a:ln>
          </c:spPr>
          <c:marker>
            <c:symbol val="none"/>
          </c:marker>
          <c:xVal>
            <c:numRef>
              <c:f>Retirement!$B$49:$B$123</c:f>
              <c:numCache>
                <c:formatCode>General</c:formatCode>
                <c:ptCount val="75"/>
                <c:pt idx="0">
                  <c:v>25</c:v>
                </c:pt>
                <c:pt idx="1">
                  <c:v>26</c:v>
                </c:pt>
                <c:pt idx="2">
                  <c:v>27</c:v>
                </c:pt>
                <c:pt idx="3">
                  <c:v>28</c:v>
                </c:pt>
                <c:pt idx="4">
                  <c:v>29</c:v>
                </c:pt>
                <c:pt idx="5">
                  <c:v>30</c:v>
                </c:pt>
                <c:pt idx="6">
                  <c:v>31</c:v>
                </c:pt>
                <c:pt idx="7">
                  <c:v>32</c:v>
                </c:pt>
                <c:pt idx="8">
                  <c:v>33</c:v>
                </c:pt>
                <c:pt idx="9">
                  <c:v>34</c:v>
                </c:pt>
                <c:pt idx="10">
                  <c:v>35</c:v>
                </c:pt>
                <c:pt idx="11">
                  <c:v>36</c:v>
                </c:pt>
                <c:pt idx="12">
                  <c:v>37</c:v>
                </c:pt>
                <c:pt idx="13">
                  <c:v>38</c:v>
                </c:pt>
                <c:pt idx="14">
                  <c:v>39</c:v>
                </c:pt>
                <c:pt idx="15">
                  <c:v>40</c:v>
                </c:pt>
                <c:pt idx="16">
                  <c:v>41</c:v>
                </c:pt>
                <c:pt idx="17">
                  <c:v>42</c:v>
                </c:pt>
                <c:pt idx="18">
                  <c:v>43</c:v>
                </c:pt>
                <c:pt idx="19">
                  <c:v>44</c:v>
                </c:pt>
                <c:pt idx="20">
                  <c:v>45</c:v>
                </c:pt>
                <c:pt idx="21">
                  <c:v>46</c:v>
                </c:pt>
                <c:pt idx="22">
                  <c:v>47</c:v>
                </c:pt>
                <c:pt idx="23">
                  <c:v>48</c:v>
                </c:pt>
                <c:pt idx="24">
                  <c:v>49</c:v>
                </c:pt>
                <c:pt idx="25">
                  <c:v>50</c:v>
                </c:pt>
                <c:pt idx="26">
                  <c:v>51</c:v>
                </c:pt>
                <c:pt idx="27">
                  <c:v>52</c:v>
                </c:pt>
                <c:pt idx="28">
                  <c:v>53</c:v>
                </c:pt>
                <c:pt idx="29">
                  <c:v>54</c:v>
                </c:pt>
                <c:pt idx="30">
                  <c:v>55</c:v>
                </c:pt>
                <c:pt idx="31">
                  <c:v>56</c:v>
                </c:pt>
                <c:pt idx="32">
                  <c:v>57</c:v>
                </c:pt>
                <c:pt idx="33">
                  <c:v>58</c:v>
                </c:pt>
                <c:pt idx="34">
                  <c:v>59</c:v>
                </c:pt>
                <c:pt idx="35">
                  <c:v>60</c:v>
                </c:pt>
                <c:pt idx="36">
                  <c:v>61</c:v>
                </c:pt>
                <c:pt idx="37">
                  <c:v>62</c:v>
                </c:pt>
                <c:pt idx="38">
                  <c:v>63</c:v>
                </c:pt>
                <c:pt idx="39">
                  <c:v>64</c:v>
                </c:pt>
                <c:pt idx="40">
                  <c:v>65</c:v>
                </c:pt>
                <c:pt idx="41">
                  <c:v>66</c:v>
                </c:pt>
                <c:pt idx="42">
                  <c:v>67</c:v>
                </c:pt>
                <c:pt idx="43">
                  <c:v>68</c:v>
                </c:pt>
                <c:pt idx="44">
                  <c:v>69</c:v>
                </c:pt>
                <c:pt idx="45">
                  <c:v>70</c:v>
                </c:pt>
                <c:pt idx="46">
                  <c:v>71</c:v>
                </c:pt>
                <c:pt idx="47">
                  <c:v>72</c:v>
                </c:pt>
                <c:pt idx="48">
                  <c:v>73</c:v>
                </c:pt>
                <c:pt idx="49">
                  <c:v>74</c:v>
                </c:pt>
                <c:pt idx="50">
                  <c:v>75</c:v>
                </c:pt>
                <c:pt idx="51">
                  <c:v>76</c:v>
                </c:pt>
                <c:pt idx="52">
                  <c:v>77</c:v>
                </c:pt>
                <c:pt idx="53">
                  <c:v>78</c:v>
                </c:pt>
                <c:pt idx="54">
                  <c:v>79</c:v>
                </c:pt>
                <c:pt idx="55">
                  <c:v>80</c:v>
                </c:pt>
                <c:pt idx="56">
                  <c:v>81</c:v>
                </c:pt>
                <c:pt idx="57">
                  <c:v>82</c:v>
                </c:pt>
                <c:pt idx="58">
                  <c:v>83</c:v>
                </c:pt>
                <c:pt idx="59">
                  <c:v>84</c:v>
                </c:pt>
                <c:pt idx="60">
                  <c:v>85</c:v>
                </c:pt>
                <c:pt idx="61">
                  <c:v>86</c:v>
                </c:pt>
                <c:pt idx="62">
                  <c:v>87</c:v>
                </c:pt>
                <c:pt idx="63">
                  <c:v>88</c:v>
                </c:pt>
                <c:pt idx="64">
                  <c:v>89</c:v>
                </c:pt>
                <c:pt idx="65">
                  <c:v>#N/A</c:v>
                </c:pt>
                <c:pt idx="66">
                  <c:v>#N/A</c:v>
                </c:pt>
                <c:pt idx="67">
                  <c:v>#N/A</c:v>
                </c:pt>
                <c:pt idx="68">
                  <c:v>#N/A</c:v>
                </c:pt>
                <c:pt idx="69">
                  <c:v>#N/A</c:v>
                </c:pt>
                <c:pt idx="70">
                  <c:v>#N/A</c:v>
                </c:pt>
                <c:pt idx="71">
                  <c:v>#N/A</c:v>
                </c:pt>
                <c:pt idx="72">
                  <c:v>#N/A</c:v>
                </c:pt>
                <c:pt idx="73">
                  <c:v>#N/A</c:v>
                </c:pt>
                <c:pt idx="74">
                  <c:v>#N/A</c:v>
                </c:pt>
              </c:numCache>
            </c:numRef>
          </c:xVal>
          <c:yVal>
            <c:numRef>
              <c:f>Retirement!$K$130:$K$204</c:f>
              <c:numCache>
                <c:formatCode>#,##0.00</c:formatCode>
                <c:ptCount val="75"/>
                <c:pt idx="0">
                  <c:v>3000.0000000000027</c:v>
                </c:pt>
                <c:pt idx="1">
                  <c:v>6300.0000000000055</c:v>
                </c:pt>
                <c:pt idx="2">
                  <c:v>9925.2000000000098</c:v>
                </c:pt>
                <c:pt idx="3">
                  <c:v>13902.840000000015</c:v>
                </c:pt>
                <c:pt idx="4">
                  <c:v>18262.36368000002</c:v>
                </c:pt>
                <c:pt idx="5">
                  <c:v>23035.595184000027</c:v>
                </c:pt>
                <c:pt idx="6">
                  <c:v>28256.930056512036</c:v>
                </c:pt>
                <c:pt idx="7">
                  <c:v>33963.541463980844</c:v>
                </c:pt>
                <c:pt idx="8">
                  <c:v>40195.602924106119</c:v>
                </c:pt>
                <c:pt idx="9">
                  <c:v>46996.528863901549</c:v>
                </c:pt>
                <c:pt idx="10">
                  <c:v>54413.234432997953</c:v>
                </c:pt>
                <c:pt idx="11">
                  <c:v>62496.416112821753</c:v>
                </c:pt>
                <c:pt idx="12">
                  <c:v>71300.854785535135</c:v>
                </c:pt>
                <c:pt idx="13">
                  <c:v>80885.74305973934</c:v>
                </c:pt>
                <c:pt idx="14">
                  <c:v>91315.038793707121</c:v>
                </c:pt>
                <c:pt idx="15">
                  <c:v>102657.84691217609</c:v>
                </c:pt>
                <c:pt idx="16">
                  <c:v>114988.83178042201</c:v>
                </c:pt>
                <c:pt idx="17">
                  <c:v>128388.66258043307</c:v>
                </c:pt>
                <c:pt idx="18">
                  <c:v>142944.49432959655</c:v>
                </c:pt>
                <c:pt idx="19">
                  <c:v>158750.48739354769</c:v>
                </c:pt>
                <c:pt idx="20">
                  <c:v>175908.3685729666</c:v>
                </c:pt>
                <c:pt idx="21">
                  <c:v>194528.0370904977</c:v>
                </c:pt>
                <c:pt idx="22">
                  <c:v>214728.21907006518</c:v>
                </c:pt>
                <c:pt idx="23">
                  <c:v>236637.17438824463</c:v>
                </c:pt>
                <c:pt idx="24">
                  <c:v>260393.46008772991</c:v>
                </c:pt>
                <c:pt idx="25">
                  <c:v>286146.7548781425</c:v>
                </c:pt>
                <c:pt idx="26">
                  <c:v>314058.74961145601</c:v>
                </c:pt>
                <c:pt idx="27">
                  <c:v>344304.10901029583</c:v>
                </c:pt>
                <c:pt idx="28">
                  <c:v>377071.51034964132</c:v>
                </c:pt>
                <c:pt idx="29">
                  <c:v>412564.76524850487</c:v>
                </c:pt>
                <c:pt idx="30">
                  <c:v>451004.03122069535</c:v>
                </c:pt>
                <c:pt idx="31">
                  <c:v>492627.12016570725</c:v>
                </c:pt>
                <c:pt idx="32">
                  <c:v>537690.91155526729</c:v>
                </c:pt>
                <c:pt idx="33">
                  <c:v>586472.87869151821</c:v>
                </c:pt>
                <c:pt idx="34">
                  <c:v>639272.73708290583</c:v>
                </c:pt>
                <c:pt idx="35">
                  <c:v>696414.22470752569</c:v>
                </c:pt>
                <c:pt idx="36">
                  <c:v>758247.02471527492</c:v>
                </c:pt>
                <c:pt idx="37">
                  <c:v>825148.84196426708</c:v>
                </c:pt>
                <c:pt idx="38">
                  <c:v>897527.64569861395</c:v>
                </c:pt>
                <c:pt idx="39">
                  <c:v>975824.09165925265</c:v>
                </c:pt>
                <c:pt idx="40">
                  <c:v>964780.02729992173</c:v>
                </c:pt>
                <c:pt idx="41">
                  <c:v>952195.07739653764</c:v>
                </c:pt>
                <c:pt idx="42">
                  <c:v>937986.72847438045</c:v>
                </c:pt>
                <c:pt idx="43">
                  <c:v>922068.90304723708</c:v>
                </c:pt>
                <c:pt idx="44">
                  <c:v>904351.8200388382</c:v>
                </c:pt>
                <c:pt idx="45">
                  <c:v>884741.85003719281</c:v>
                </c:pt>
                <c:pt idx="46">
                  <c:v>863141.36519741383</c:v>
                </c:pt>
                <c:pt idx="47">
                  <c:v>839448.58360221446</c:v>
                </c:pt>
                <c:pt idx="48">
                  <c:v>813557.40788262547</c:v>
                </c:pt>
                <c:pt idx="49">
                  <c:v>785357.25789461914</c:v>
                </c:pt>
                <c:pt idx="50">
                  <c:v>754732.89724023815</c:v>
                </c:pt>
                <c:pt idx="51">
                  <c:v>721564.2534144891</c:v>
                </c:pt>
                <c:pt idx="52">
                  <c:v>685726.23135167896</c:v>
                </c:pt>
                <c:pt idx="53">
                  <c:v>647088.52013702714</c:v>
                </c:pt>
                <c:pt idx="54">
                  <c:v>605515.39264127961</c:v>
                </c:pt>
                <c:pt idx="55">
                  <c:v>560865.4978276639</c:v>
                </c:pt>
                <c:pt idx="56">
                  <c:v>512991.64547185414</c:v>
                </c:pt>
                <c:pt idx="57">
                  <c:v>461740.58302665094</c:v>
                </c:pt>
                <c:pt idx="58">
                  <c:v>406952.76435381087</c:v>
                </c:pt>
                <c:pt idx="59">
                  <c:v>348462.11003587645</c:v>
                </c:pt>
                <c:pt idx="60">
                  <c:v>286095.75897094753</c:v>
                </c:pt>
                <c:pt idx="61">
                  <c:v>219673.81094309059</c:v>
                </c:pt>
                <c:pt idx="62">
                  <c:v>149009.05985048835</c:v>
                </c:pt>
                <c:pt idx="63">
                  <c:v>73906.717262481208</c:v>
                </c:pt>
                <c:pt idx="64">
                  <c:v>-5835.8740346718114</c:v>
                </c:pt>
                <c:pt idx="65">
                  <c:v>#N/A</c:v>
                </c:pt>
                <c:pt idx="66">
                  <c:v>#N/A</c:v>
                </c:pt>
                <c:pt idx="67">
                  <c:v>#N/A</c:v>
                </c:pt>
                <c:pt idx="68">
                  <c:v>#N/A</c:v>
                </c:pt>
                <c:pt idx="69">
                  <c:v>#N/A</c:v>
                </c:pt>
                <c:pt idx="70">
                  <c:v>#N/A</c:v>
                </c:pt>
                <c:pt idx="71">
                  <c:v>#N/A</c:v>
                </c:pt>
                <c:pt idx="72">
                  <c:v>#N/A</c:v>
                </c:pt>
                <c:pt idx="73">
                  <c:v>#N/A</c:v>
                </c:pt>
                <c:pt idx="74">
                  <c:v>#N/A</c:v>
                </c:pt>
              </c:numCache>
            </c:numRef>
          </c:yVal>
          <c:smooth val="0"/>
          <c:extLst xmlns:c16r2="http://schemas.microsoft.com/office/drawing/2015/06/chart">
            <c:ext xmlns:c16="http://schemas.microsoft.com/office/drawing/2014/chart" uri="{C3380CC4-5D6E-409C-BE32-E72D297353CC}">
              <c16:uniqueId val="{00000001-E941-48F1-84A9-5EDD578CBE79}"/>
            </c:ext>
          </c:extLst>
        </c:ser>
        <c:dLbls>
          <c:showLegendKey val="0"/>
          <c:showVal val="0"/>
          <c:showCatName val="0"/>
          <c:showSerName val="0"/>
          <c:showPercent val="0"/>
          <c:showBubbleSize val="0"/>
        </c:dLbls>
        <c:axId val="350683064"/>
        <c:axId val="350686200"/>
      </c:scatterChart>
      <c:valAx>
        <c:axId val="350683064"/>
        <c:scaling>
          <c:orientation val="minMax"/>
          <c:min val="20"/>
        </c:scaling>
        <c:delete val="0"/>
        <c:axPos val="b"/>
        <c:title>
          <c:tx>
            <c:rich>
              <a:bodyPr/>
              <a:lstStyle/>
              <a:p>
                <a:pPr>
                  <a:defRPr sz="1000" b="1" i="0" u="none" strike="noStrike" baseline="0">
                    <a:solidFill>
                      <a:srgbClr val="000000"/>
                    </a:solidFill>
                    <a:latin typeface="Arial"/>
                    <a:ea typeface="Arial"/>
                    <a:cs typeface="Arial"/>
                  </a:defRPr>
                </a:pPr>
                <a:r>
                  <a:rPr lang="en-US"/>
                  <a:t>Age</a:t>
                </a:r>
              </a:p>
            </c:rich>
          </c:tx>
          <c:layout>
            <c:manualLayout>
              <c:xMode val="edge"/>
              <c:yMode val="edge"/>
              <c:x val="0.56923633626679015"/>
              <c:y val="0.9051776388776143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50686200"/>
        <c:crosses val="autoZero"/>
        <c:crossBetween val="midCat"/>
      </c:valAx>
      <c:valAx>
        <c:axId val="350686200"/>
        <c:scaling>
          <c:orientation val="minMax"/>
        </c:scaling>
        <c:delete val="0"/>
        <c:axPos val="l"/>
        <c:numFmt formatCode="_(\$* #,##0_);_(\$* \(#,##0\);_(\$* &quot;-&quot;??_);_(@_)"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50683064"/>
        <c:crosses val="autoZero"/>
        <c:crossBetween val="midCat"/>
      </c:valAx>
      <c:spPr>
        <a:noFill/>
        <a:ln w="25400">
          <a:noFill/>
        </a:ln>
      </c:spPr>
    </c:plotArea>
    <c:legend>
      <c:legendPos val="t"/>
      <c:layout>
        <c:manualLayout>
          <c:xMode val="edge"/>
          <c:yMode val="edge"/>
          <c:x val="0.15752856260614481"/>
          <c:y val="0.13547754897804587"/>
          <c:w val="0.30095578585765015"/>
          <c:h val="0.33038619510601774"/>
        </c:manualLayout>
      </c:layout>
      <c:overlay val="0"/>
      <c:txPr>
        <a:bodyPr/>
        <a:lstStyle/>
        <a:p>
          <a:pPr>
            <a:defRPr sz="1000"/>
          </a:pPr>
          <a:endParaRPr lang="en-US"/>
        </a:p>
      </c:txPr>
    </c:legend>
    <c:plotVisOnly val="1"/>
    <c:dispBlanksAs val="gap"/>
    <c:showDLblsOverMax val="0"/>
  </c:chart>
  <c:spPr>
    <a:solidFill>
      <a:srgbClr val="FFFFFF"/>
    </a:solidFill>
    <a:ln w="6350">
      <a:noFill/>
    </a:ln>
  </c:spPr>
  <c:txPr>
    <a:bodyPr/>
    <a:lstStyle/>
    <a:p>
      <a:pPr>
        <a:defRPr sz="5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99060</xdr:colOff>
      <xdr:row>31</xdr:row>
      <xdr:rowOff>68580</xdr:rowOff>
    </xdr:from>
    <xdr:to>
      <xdr:col>10</xdr:col>
      <xdr:colOff>777240</xdr:colOff>
      <xdr:row>44</xdr:row>
      <xdr:rowOff>83820</xdr:rowOff>
    </xdr:to>
    <xdr:graphicFrame macro="">
      <xdr:nvGraphicFramePr>
        <xdr:cNvPr id="1028" name="Chart 4">
          <a:extLst>
            <a:ext uri="{FF2B5EF4-FFF2-40B4-BE49-F238E27FC236}">
              <a16:creationId xmlns:a16="http://schemas.microsoft.com/office/drawing/2014/main" xmlns="" id="{00000000-0008-0000-0000-000004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oneCell">
    <xdr:from>
      <xdr:col>9</xdr:col>
      <xdr:colOff>373380</xdr:colOff>
      <xdr:row>0</xdr:row>
      <xdr:rowOff>30481</xdr:rowOff>
    </xdr:from>
    <xdr:to>
      <xdr:col>10</xdr:col>
      <xdr:colOff>975360</xdr:colOff>
      <xdr:row>0</xdr:row>
      <xdr:rowOff>358141</xdr:rowOff>
    </xdr:to>
    <xdr:pic>
      <xdr:nvPicPr>
        <xdr:cNvPr id="4" name="Picture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81700" y="30481"/>
          <a:ext cx="1310640" cy="327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4213860</xdr:colOff>
      <xdr:row>0</xdr:row>
      <xdr:rowOff>22860</xdr:rowOff>
    </xdr:from>
    <xdr:to>
      <xdr:col>2</xdr:col>
      <xdr:colOff>350520</xdr:colOff>
      <xdr:row>0</xdr:row>
      <xdr:rowOff>365760</xdr:rowOff>
    </xdr:to>
    <xdr:pic>
      <xdr:nvPicPr>
        <xdr:cNvPr id="3" name="Picture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22520" y="22860"/>
          <a:ext cx="1524000" cy="342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4168140</xdr:colOff>
      <xdr:row>0</xdr:row>
      <xdr:rowOff>15240</xdr:rowOff>
    </xdr:from>
    <xdr:to>
      <xdr:col>2</xdr:col>
      <xdr:colOff>304800</xdr:colOff>
      <xdr:row>0</xdr:row>
      <xdr:rowOff>358140</xdr:rowOff>
    </xdr:to>
    <xdr:pic>
      <xdr:nvPicPr>
        <xdr:cNvPr id="3" name="Picture 2">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76800" y="15240"/>
          <a:ext cx="1524000" cy="342900"/>
        </a:xfrm>
        <a:prstGeom prst="rect">
          <a:avLst/>
        </a:prstGeom>
      </xdr:spPr>
    </xdr:pic>
    <xdr:clientData/>
  </xdr:twoCellAnchor>
</xdr:wsDr>
</file>

<file path=xl/theme/theme1.xml><?xml version="1.0" encoding="utf-8"?>
<a:theme xmlns:a="http://schemas.openxmlformats.org/drawingml/2006/main" name="Office Theme">
  <a:themeElements>
    <a:clrScheme name="V42-BlueGray">
      <a:dk1>
        <a:sysClr val="windowText" lastClr="000000"/>
      </a:dk1>
      <a:lt1>
        <a:sysClr val="window" lastClr="FFFFFF"/>
      </a:lt1>
      <a:dk2>
        <a:srgbClr val="3B4E87"/>
      </a:dk2>
      <a:lt2>
        <a:srgbClr val="EEECE2"/>
      </a:lt2>
      <a:accent1>
        <a:srgbClr val="5E8BCE"/>
      </a:accent1>
      <a:accent2>
        <a:srgbClr val="7F7F7F"/>
      </a:accent2>
      <a:accent3>
        <a:srgbClr val="26AA26"/>
      </a:accent3>
      <a:accent4>
        <a:srgbClr val="7860B4"/>
      </a:accent4>
      <a:accent5>
        <a:srgbClr val="C04E4E"/>
      </a:accent5>
      <a:accent6>
        <a:srgbClr val="846648"/>
      </a:accent6>
      <a:hlink>
        <a:srgbClr val="4C92AE"/>
      </a:hlink>
      <a:folHlink>
        <a:srgbClr val="969696"/>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vertex42.com/Calculators/financial-calculators.html" TargetMode="External"/><Relationship Id="rId1" Type="http://schemas.openxmlformats.org/officeDocument/2006/relationships/hyperlink" Target="https://www.vertex42.com/Calculators/retirement-calculator.htm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vertex42.com/ExcelTemplates/personal-budget-spreadsheet.html" TargetMode="External"/><Relationship Id="rId7" Type="http://schemas.openxmlformats.org/officeDocument/2006/relationships/printerSettings" Target="../printerSettings/printerSettings2.bin"/><Relationship Id="rId2" Type="http://schemas.openxmlformats.org/officeDocument/2006/relationships/hyperlink" Target="https://www.vertex42.com/ExcelTips/workbook.html" TargetMode="External"/><Relationship Id="rId1" Type="http://schemas.openxmlformats.org/officeDocument/2006/relationships/hyperlink" Target="https://www.vertex42.com/Calculators/retirement-calculator.html" TargetMode="External"/><Relationship Id="rId6" Type="http://schemas.openxmlformats.org/officeDocument/2006/relationships/hyperlink" Target="https://www.vertex42.com/Calculators/401k-savings-calculator.html" TargetMode="External"/><Relationship Id="rId5" Type="http://schemas.openxmlformats.org/officeDocument/2006/relationships/hyperlink" Target="https://www.vertex42.com/Calculators/retirement-withdrawal-calculator.html" TargetMode="External"/><Relationship Id="rId4" Type="http://schemas.openxmlformats.org/officeDocument/2006/relationships/hyperlink" Target="https://www.vertex42.com/Calculators/home-mortgage-calculator.html"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vertex42.com/licensing/EULA_personaluse.html" TargetMode="External"/><Relationship Id="rId1" Type="http://schemas.openxmlformats.org/officeDocument/2006/relationships/hyperlink" Target="https://www.vertex42.com/Calculators/retirement-calculator.html"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M205"/>
  <sheetViews>
    <sheetView showGridLines="0" tabSelected="1" workbookViewId="0">
      <selection activeCell="E17" sqref="E17"/>
    </sheetView>
  </sheetViews>
  <sheetFormatPr defaultColWidth="9.140625" defaultRowHeight="12.75" x14ac:dyDescent="0.2"/>
  <cols>
    <col min="1" max="1" width="6.42578125" customWidth="1"/>
    <col min="2" max="2" width="6.7109375" customWidth="1"/>
    <col min="3" max="3" width="7.5703125" customWidth="1"/>
    <col min="4" max="4" width="8.85546875" customWidth="1"/>
    <col min="5" max="5" width="13" customWidth="1"/>
    <col min="6" max="6" width="4.7109375" customWidth="1"/>
    <col min="7" max="7" width="11.5703125" customWidth="1"/>
    <col min="8" max="8" width="10.85546875" customWidth="1"/>
    <col min="9" max="9" width="12.140625" customWidth="1"/>
    <col min="10" max="10" width="10.28515625" customWidth="1"/>
    <col min="11" max="11" width="15" customWidth="1"/>
    <col min="12" max="12" width="4.140625" customWidth="1"/>
    <col min="13" max="13" width="37.85546875" customWidth="1"/>
    <col min="16" max="16" width="17.7109375" customWidth="1"/>
    <col min="17" max="17" width="11.28515625" bestFit="1" customWidth="1"/>
  </cols>
  <sheetData>
    <row r="1" spans="1:13" ht="30" customHeight="1" x14ac:dyDescent="0.2">
      <c r="A1" s="9" t="s">
        <v>24</v>
      </c>
      <c r="B1" s="9"/>
      <c r="C1" s="9"/>
      <c r="D1" s="9"/>
      <c r="E1" s="9"/>
      <c r="F1" s="9"/>
      <c r="G1" s="9"/>
      <c r="H1" s="9"/>
      <c r="I1" s="9"/>
      <c r="J1" s="9"/>
      <c r="K1" s="9"/>
    </row>
    <row r="2" spans="1:13" x14ac:dyDescent="0.2">
      <c r="M2" s="114" t="s">
        <v>97</v>
      </c>
    </row>
    <row r="3" spans="1:13" ht="15" hidden="1" x14ac:dyDescent="0.2">
      <c r="A3" s="107" t="s">
        <v>74</v>
      </c>
      <c r="B3" s="121"/>
      <c r="C3" s="121"/>
      <c r="D3" s="121"/>
      <c r="E3" s="121"/>
      <c r="G3" s="107" t="s">
        <v>72</v>
      </c>
      <c r="H3" s="121"/>
      <c r="I3" s="121"/>
      <c r="K3" t="s">
        <v>93</v>
      </c>
    </row>
    <row r="4" spans="1:13" hidden="1" x14ac:dyDescent="0.2">
      <c r="A4" s="2"/>
      <c r="B4" t="s">
        <v>71</v>
      </c>
      <c r="H4" t="s">
        <v>71</v>
      </c>
    </row>
    <row r="5" spans="1:13" hidden="1" x14ac:dyDescent="0.2">
      <c r="A5" s="2"/>
      <c r="H5" t="s">
        <v>73</v>
      </c>
    </row>
    <row r="6" spans="1:13" hidden="1" x14ac:dyDescent="0.2">
      <c r="A6" s="2"/>
      <c r="H6" t="s">
        <v>75</v>
      </c>
    </row>
    <row r="7" spans="1:13" x14ac:dyDescent="0.2">
      <c r="A7" s="2"/>
    </row>
    <row r="8" spans="1:13" ht="15.75" thickBot="1" x14ac:dyDescent="0.25">
      <c r="A8" s="72" t="s">
        <v>59</v>
      </c>
      <c r="B8" s="72"/>
      <c r="C8" s="72"/>
      <c r="D8" s="72"/>
      <c r="E8" s="72"/>
      <c r="F8" s="73"/>
      <c r="G8" s="89" t="s">
        <v>48</v>
      </c>
      <c r="H8" s="89"/>
      <c r="I8" s="89"/>
      <c r="J8" s="89"/>
      <c r="K8" s="89"/>
      <c r="M8" s="2" t="s">
        <v>24</v>
      </c>
    </row>
    <row r="9" spans="1:13" ht="15" customHeight="1" x14ac:dyDescent="0.2">
      <c r="A9" s="10"/>
      <c r="B9" s="11"/>
      <c r="C9" s="11"/>
      <c r="D9" s="11" t="s">
        <v>1</v>
      </c>
      <c r="E9" s="81">
        <v>25</v>
      </c>
      <c r="G9" s="82"/>
      <c r="H9" s="82"/>
      <c r="I9" s="82"/>
      <c r="J9" s="86" t="s">
        <v>64</v>
      </c>
      <c r="K9" s="94">
        <v>12000</v>
      </c>
      <c r="M9" s="108" t="s">
        <v>19</v>
      </c>
    </row>
    <row r="10" spans="1:13" ht="15" customHeight="1" x14ac:dyDescent="0.2">
      <c r="A10" s="10"/>
      <c r="B10" s="11"/>
      <c r="C10" s="11"/>
      <c r="D10" s="11" t="s">
        <v>2</v>
      </c>
      <c r="E10" s="77">
        <v>65</v>
      </c>
      <c r="G10" s="82"/>
      <c r="H10" s="82"/>
      <c r="I10" s="83"/>
      <c r="J10" s="84" t="s">
        <v>41</v>
      </c>
      <c r="K10" s="75">
        <f>FV(E17,(E10-E9),,-K9)</f>
        <v>39144.453503988865</v>
      </c>
      <c r="M10" s="108" t="s">
        <v>106</v>
      </c>
    </row>
    <row r="11" spans="1:13" ht="15" customHeight="1" x14ac:dyDescent="0.2">
      <c r="A11" s="10"/>
      <c r="B11" s="11"/>
      <c r="C11" s="11"/>
      <c r="D11" s="67" t="s">
        <v>25</v>
      </c>
      <c r="E11" s="77">
        <v>25</v>
      </c>
      <c r="G11" s="82"/>
      <c r="H11" s="82"/>
      <c r="I11" s="82"/>
      <c r="J11" s="84" t="s">
        <v>61</v>
      </c>
      <c r="K11" s="75">
        <f>PV(((1+E16)/(1+E17)-1)/E43,E11*E43,-IF(E44=1,K10/E43,K10/(1+E17)/E43),,1)</f>
        <v>978611.33759972162</v>
      </c>
      <c r="M11" s="108" t="s">
        <v>92</v>
      </c>
    </row>
    <row r="12" spans="1:13" ht="15" customHeight="1" x14ac:dyDescent="0.2">
      <c r="A12" s="10"/>
      <c r="B12" s="11"/>
      <c r="C12" s="11"/>
      <c r="D12" s="67" t="s">
        <v>6</v>
      </c>
      <c r="E12" s="110">
        <f>E10-E9</f>
        <v>40</v>
      </c>
      <c r="G12" s="82"/>
      <c r="H12" s="82"/>
      <c r="I12" s="82"/>
      <c r="J12" s="82"/>
      <c r="K12" s="82"/>
    </row>
    <row r="13" spans="1:13" ht="15" customHeight="1" x14ac:dyDescent="0.2">
      <c r="A13" s="10"/>
      <c r="B13" s="11"/>
      <c r="C13" s="11"/>
      <c r="D13" s="11"/>
      <c r="E13" s="11"/>
      <c r="G13" s="91" t="s">
        <v>32</v>
      </c>
      <c r="H13" s="92"/>
      <c r="I13" s="92"/>
      <c r="J13" s="92"/>
      <c r="K13" s="93"/>
      <c r="M13" s="2" t="s">
        <v>102</v>
      </c>
    </row>
    <row r="14" spans="1:13" ht="15" customHeight="1" x14ac:dyDescent="0.2">
      <c r="A14" s="90" t="s">
        <v>55</v>
      </c>
      <c r="B14" s="88"/>
      <c r="C14" s="88"/>
      <c r="D14" s="88"/>
      <c r="E14" s="88"/>
      <c r="G14" s="82"/>
      <c r="H14" s="82"/>
      <c r="I14" s="82"/>
      <c r="J14" s="86" t="s">
        <v>56</v>
      </c>
      <c r="K14" s="74">
        <v>0</v>
      </c>
    </row>
    <row r="15" spans="1:13" ht="15" customHeight="1" x14ac:dyDescent="0.2">
      <c r="A15" s="10"/>
      <c r="B15" s="11"/>
      <c r="C15" s="11"/>
      <c r="D15" s="67" t="s">
        <v>29</v>
      </c>
      <c r="E15" s="80">
        <v>0.08</v>
      </c>
      <c r="G15" s="82"/>
      <c r="H15" s="82"/>
      <c r="I15" s="82"/>
      <c r="J15" s="84" t="s">
        <v>52</v>
      </c>
      <c r="K15" s="75">
        <f>-FV(E15/E43,(E10-E9)*E43,0,K14,0)</f>
        <v>0</v>
      </c>
      <c r="M15" s="18" t="s">
        <v>34</v>
      </c>
    </row>
    <row r="16" spans="1:13" ht="15" customHeight="1" x14ac:dyDescent="0.2">
      <c r="A16" s="10"/>
      <c r="B16" s="11"/>
      <c r="C16" s="11"/>
      <c r="D16" s="67" t="s">
        <v>53</v>
      </c>
      <c r="E16" s="17">
        <v>0.03</v>
      </c>
      <c r="G16" s="82"/>
      <c r="H16" s="82"/>
      <c r="I16" s="82"/>
      <c r="J16" s="84" t="s">
        <v>66</v>
      </c>
      <c r="K16" s="75">
        <f>IF(E21=E15,(E27/E43)*((E12*E43)*(1+E15/E43)^(E12*E43))/(1+E21/E43),(E27/E43)*((1+E21/E43)^(E12*E43)-(1+E15/E43)^(E12*E43))/(E21/E43-E15/E43))</f>
        <v>975824.09165925183</v>
      </c>
      <c r="M16" s="114" t="s">
        <v>33</v>
      </c>
    </row>
    <row r="17" spans="1:13" ht="15" customHeight="1" x14ac:dyDescent="0.2">
      <c r="A17" s="10"/>
      <c r="B17" s="11"/>
      <c r="C17" s="11"/>
      <c r="D17" s="67" t="s">
        <v>27</v>
      </c>
      <c r="E17" s="17">
        <v>0.03</v>
      </c>
      <c r="G17" s="82"/>
      <c r="H17" s="82"/>
      <c r="I17" s="82"/>
      <c r="J17" s="82"/>
      <c r="K17" s="109"/>
      <c r="M17" s="114" t="s">
        <v>36</v>
      </c>
    </row>
    <row r="18" spans="1:13" ht="15" customHeight="1" x14ac:dyDescent="0.2">
      <c r="A18" s="10"/>
      <c r="B18" s="11"/>
      <c r="C18" s="11"/>
      <c r="D18" s="11"/>
      <c r="E18" s="11"/>
      <c r="F18" s="71"/>
      <c r="G18" s="91" t="s">
        <v>47</v>
      </c>
      <c r="H18" s="92"/>
      <c r="I18" s="92"/>
      <c r="J18" s="92"/>
      <c r="K18" s="93"/>
      <c r="M18" s="114" t="s">
        <v>87</v>
      </c>
    </row>
    <row r="19" spans="1:13" ht="15" customHeight="1" x14ac:dyDescent="0.2">
      <c r="A19" s="90" t="s">
        <v>63</v>
      </c>
      <c r="B19" s="88"/>
      <c r="C19" s="88"/>
      <c r="D19" s="88"/>
      <c r="E19" s="88"/>
      <c r="G19" s="82"/>
      <c r="H19" s="85"/>
      <c r="I19" s="82"/>
      <c r="J19" s="84" t="s">
        <v>43</v>
      </c>
      <c r="K19" s="77">
        <v>65</v>
      </c>
      <c r="M19" s="114" t="s">
        <v>88</v>
      </c>
    </row>
    <row r="20" spans="1:13" ht="15" customHeight="1" x14ac:dyDescent="0.2">
      <c r="A20" s="10"/>
      <c r="B20" s="11"/>
      <c r="C20" s="11"/>
      <c r="D20" s="67" t="s">
        <v>10</v>
      </c>
      <c r="E20" s="74">
        <v>40000</v>
      </c>
      <c r="G20" s="82"/>
      <c r="H20" s="82"/>
      <c r="I20" s="82"/>
      <c r="J20" s="84" t="s">
        <v>44</v>
      </c>
      <c r="K20" s="74">
        <v>0</v>
      </c>
      <c r="M20" s="114" t="s">
        <v>89</v>
      </c>
    </row>
    <row r="21" spans="1:13" ht="15" customHeight="1" x14ac:dyDescent="0.2">
      <c r="A21" s="10"/>
      <c r="B21" s="11"/>
      <c r="C21" s="11"/>
      <c r="D21" s="11" t="s">
        <v>5</v>
      </c>
      <c r="E21" s="80">
        <v>0.02</v>
      </c>
      <c r="F21" s="71"/>
      <c r="G21" s="82"/>
      <c r="H21" s="82"/>
      <c r="I21" s="82"/>
      <c r="J21" s="84" t="s">
        <v>46</v>
      </c>
      <c r="K21" s="17">
        <v>2.8000000000000001E-2</v>
      </c>
      <c r="M21" s="114"/>
    </row>
    <row r="22" spans="1:13" ht="15" customHeight="1" x14ac:dyDescent="0.2">
      <c r="A22" s="10"/>
      <c r="B22" s="11"/>
      <c r="C22" s="11"/>
      <c r="D22" s="11"/>
      <c r="E22" s="11"/>
      <c r="G22" s="82"/>
      <c r="H22" s="82"/>
      <c r="I22" s="82"/>
      <c r="J22" s="84" t="s">
        <v>96</v>
      </c>
      <c r="K22" s="77">
        <v>10</v>
      </c>
      <c r="M22" s="114" t="s">
        <v>37</v>
      </c>
    </row>
    <row r="23" spans="1:13" ht="15" customHeight="1" x14ac:dyDescent="0.2">
      <c r="A23" s="90" t="s">
        <v>67</v>
      </c>
      <c r="B23" s="88"/>
      <c r="C23" s="88"/>
      <c r="D23" s="88"/>
      <c r="E23" s="88"/>
      <c r="F23" s="70"/>
      <c r="G23" s="82"/>
      <c r="H23" s="82"/>
      <c r="I23" s="82"/>
      <c r="J23" s="84" t="s">
        <v>54</v>
      </c>
      <c r="K23" s="75">
        <f>PV(E16,K19-E10-1,,-IF(K21=E16,K20*K22/(1+K21),K20*(((1+K21)/(1+E16))^K22-1)/(K21-E16)),1)</f>
        <v>0</v>
      </c>
      <c r="M23" s="114" t="s">
        <v>49</v>
      </c>
    </row>
    <row r="24" spans="1:13" ht="15" customHeight="1" x14ac:dyDescent="0.2">
      <c r="A24" s="10"/>
      <c r="B24" s="11"/>
      <c r="C24" s="11"/>
      <c r="D24" s="67" t="s">
        <v>104</v>
      </c>
      <c r="E24" s="80">
        <v>0.05</v>
      </c>
      <c r="G24" s="82"/>
      <c r="H24" s="82"/>
      <c r="I24" s="82"/>
      <c r="J24" s="82"/>
      <c r="K24" s="82"/>
      <c r="M24" s="114"/>
    </row>
    <row r="25" spans="1:13" ht="15" customHeight="1" x14ac:dyDescent="0.2">
      <c r="A25" s="10"/>
      <c r="B25" s="11"/>
      <c r="C25" s="11"/>
      <c r="D25" s="117" t="s">
        <v>103</v>
      </c>
      <c r="E25" s="80">
        <v>0.5</v>
      </c>
      <c r="G25" s="91" t="s">
        <v>58</v>
      </c>
      <c r="H25" s="92"/>
      <c r="I25" s="92"/>
      <c r="J25" s="92"/>
      <c r="K25" s="93"/>
      <c r="M25" s="114" t="s">
        <v>39</v>
      </c>
    </row>
    <row r="26" spans="1:13" ht="15" customHeight="1" x14ac:dyDescent="0.2">
      <c r="A26" s="10"/>
      <c r="B26" s="11"/>
      <c r="C26" s="11"/>
      <c r="D26" s="117" t="s">
        <v>105</v>
      </c>
      <c r="E26" s="80">
        <v>0.05</v>
      </c>
      <c r="G26" s="82"/>
      <c r="H26" s="82"/>
      <c r="I26" s="82"/>
      <c r="J26" s="84" t="s">
        <v>62</v>
      </c>
      <c r="K26" s="74">
        <v>0</v>
      </c>
      <c r="M26" s="114" t="s">
        <v>40</v>
      </c>
    </row>
    <row r="27" spans="1:13" ht="15" customHeight="1" x14ac:dyDescent="0.2">
      <c r="A27" s="10"/>
      <c r="B27" s="11"/>
      <c r="C27" s="11"/>
      <c r="D27" s="67" t="s">
        <v>68</v>
      </c>
      <c r="E27" s="87">
        <f>E20*E24+E20*MIN(E24,E26)*E25</f>
        <v>3000</v>
      </c>
      <c r="K27" s="118" t="str">
        <f>IF(K28&lt;0,"Note: There is a surplus. Some results might not apply.",".")</f>
        <v>.</v>
      </c>
      <c r="M27" s="114" t="s">
        <v>90</v>
      </c>
    </row>
    <row r="28" spans="1:13" ht="15" customHeight="1" x14ac:dyDescent="0.2">
      <c r="A28" s="10"/>
      <c r="B28" s="11"/>
      <c r="C28" s="11"/>
      <c r="D28" s="67"/>
      <c r="E28" s="105" t="str">
        <f>IF(E24&lt;E26,"Employer Match is NOT Maximized",".")</f>
        <v>.</v>
      </c>
      <c r="G28" s="98"/>
      <c r="H28" s="98"/>
      <c r="I28" s="98"/>
      <c r="J28" s="99" t="s">
        <v>57</v>
      </c>
      <c r="K28" s="119">
        <f>K11-K15-K16-K23-K26</f>
        <v>2787.2459404697875</v>
      </c>
      <c r="M28" s="114" t="s">
        <v>91</v>
      </c>
    </row>
    <row r="29" spans="1:13" ht="15" customHeight="1" x14ac:dyDescent="0.2">
      <c r="B29" s="111"/>
      <c r="C29" s="111"/>
      <c r="D29" s="112"/>
      <c r="E29" s="113"/>
      <c r="G29" s="100"/>
      <c r="H29" s="100"/>
      <c r="I29" s="100"/>
      <c r="J29" s="101" t="s">
        <v>76</v>
      </c>
      <c r="K29" s="106">
        <f>IF(K10=0," - ",NPER((1+E16)/(1+E17)-1,-IF(E44=1,K10,K10/(1+E17)),K11-K28,,E44))</f>
        <v>24.928795890835829</v>
      </c>
      <c r="M29" s="114"/>
    </row>
    <row r="30" spans="1:13" ht="14.25" x14ac:dyDescent="0.2">
      <c r="B30" s="111"/>
      <c r="C30" s="111"/>
      <c r="D30" s="112"/>
      <c r="E30" s="113"/>
      <c r="G30" s="102"/>
      <c r="H30" s="100"/>
      <c r="I30" s="100"/>
      <c r="J30" s="101" t="s">
        <v>65</v>
      </c>
      <c r="K30" s="120">
        <f>K28/IF(E21=E15,(E12*E43)*(1+E15/E43)^(E12*E43)/(1+E21/E43),(((1+E21/E43)^(E12*E43)-(1+E15/E43)^(E12*E43))/(E21/E43-E15/E43)))*E43</f>
        <v>8.5688987317287904</v>
      </c>
      <c r="M30" s="114" t="s">
        <v>42</v>
      </c>
    </row>
    <row r="31" spans="1:13" ht="14.25" x14ac:dyDescent="0.2">
      <c r="B31" s="111"/>
      <c r="C31" s="111"/>
      <c r="D31" s="112"/>
      <c r="E31" s="113"/>
      <c r="G31" s="100"/>
      <c r="H31" s="100"/>
      <c r="I31" s="100"/>
      <c r="J31" s="101" t="s">
        <v>60</v>
      </c>
      <c r="K31" s="103">
        <f>IF(((K30+E27)/E20/(1+E25))&gt;E26,(K30+E27)/E20-E26*E25,((K30+E27)/E20/(1+E25)))</f>
        <v>5.021422246829322E-2</v>
      </c>
      <c r="M31" s="114" t="s">
        <v>94</v>
      </c>
    </row>
    <row r="32" spans="1:13" x14ac:dyDescent="0.2">
      <c r="J32" s="104"/>
      <c r="M32" s="114"/>
    </row>
    <row r="33" spans="1:13" x14ac:dyDescent="0.2">
      <c r="J33" s="104"/>
      <c r="M33" s="114" t="s">
        <v>77</v>
      </c>
    </row>
    <row r="34" spans="1:13" x14ac:dyDescent="0.2">
      <c r="J34" s="104"/>
      <c r="M34" s="114" t="s">
        <v>78</v>
      </c>
    </row>
    <row r="35" spans="1:13" x14ac:dyDescent="0.2">
      <c r="M35" s="114" t="s">
        <v>79</v>
      </c>
    </row>
    <row r="37" spans="1:13" x14ac:dyDescent="0.2">
      <c r="J37" s="1"/>
    </row>
    <row r="38" spans="1:13" x14ac:dyDescent="0.2">
      <c r="J38" s="1"/>
    </row>
    <row r="39" spans="1:13" x14ac:dyDescent="0.2">
      <c r="J39" s="1"/>
    </row>
    <row r="40" spans="1:13" x14ac:dyDescent="0.2">
      <c r="J40" s="1"/>
    </row>
    <row r="41" spans="1:13" x14ac:dyDescent="0.2">
      <c r="D41" s="95" t="s">
        <v>69</v>
      </c>
      <c r="E41" s="95" t="str">
        <f>"Goal: Saving "&amp;ROUND(K31*100,2)&amp;"% of Salary"</f>
        <v>Goal: Saving 5.02% of Salary</v>
      </c>
      <c r="J41" s="1"/>
    </row>
    <row r="42" spans="1:13" x14ac:dyDescent="0.2">
      <c r="D42" s="95" t="s">
        <v>70</v>
      </c>
      <c r="E42" s="95" t="str">
        <f>"Current: Saving "&amp;ROUND(E24*100,2)&amp;"% of Salary"</f>
        <v>Current: Saving 5% of Salary</v>
      </c>
      <c r="J42" s="1"/>
    </row>
    <row r="43" spans="1:13" ht="14.25" x14ac:dyDescent="0.2">
      <c r="A43" s="95"/>
      <c r="B43" s="95"/>
      <c r="C43" s="95"/>
      <c r="D43" s="96" t="s">
        <v>8</v>
      </c>
      <c r="E43" s="97">
        <v>1</v>
      </c>
      <c r="J43" s="1"/>
    </row>
    <row r="44" spans="1:13" ht="14.25" x14ac:dyDescent="0.2">
      <c r="A44" s="95"/>
      <c r="B44" s="95"/>
      <c r="C44" s="95"/>
      <c r="D44" s="96" t="s">
        <v>30</v>
      </c>
      <c r="E44" s="97">
        <v>1</v>
      </c>
      <c r="J44" s="1"/>
    </row>
    <row r="45" spans="1:13" x14ac:dyDescent="0.2">
      <c r="J45" s="1"/>
    </row>
    <row r="46" spans="1:13" x14ac:dyDescent="0.2">
      <c r="A46" s="3" t="str">
        <f>"Table Based on "&amp;TEXT(K31,"0.00%")&amp;" Salary Contribution Scenario"</f>
        <v>Table Based on 5.02% Salary Contribution Scenario</v>
      </c>
      <c r="J46" s="1"/>
      <c r="K46" s="76" t="s">
        <v>38</v>
      </c>
    </row>
    <row r="47" spans="1:13" ht="26.25" thickBot="1" x14ac:dyDescent="0.25">
      <c r="A47" s="15" t="s">
        <v>3</v>
      </c>
      <c r="B47" s="15" t="s">
        <v>4</v>
      </c>
      <c r="C47" s="15" t="s">
        <v>9</v>
      </c>
      <c r="D47" s="15" t="s">
        <v>28</v>
      </c>
      <c r="E47" s="15" t="s">
        <v>7</v>
      </c>
      <c r="F47" s="15"/>
      <c r="G47" s="15" t="s">
        <v>35</v>
      </c>
      <c r="H47" s="78" t="s">
        <v>45</v>
      </c>
      <c r="I47" s="68" t="s">
        <v>26</v>
      </c>
      <c r="J47" s="78" t="s">
        <v>95</v>
      </c>
      <c r="K47" s="16" t="s">
        <v>0</v>
      </c>
    </row>
    <row r="48" spans="1:13" ht="15" customHeight="1" x14ac:dyDescent="0.2">
      <c r="A48" s="12"/>
      <c r="B48" s="12"/>
      <c r="C48" s="12"/>
      <c r="D48" s="13"/>
      <c r="E48" s="13"/>
      <c r="F48" s="13"/>
      <c r="G48" s="13"/>
      <c r="H48" s="13"/>
      <c r="I48" s="12"/>
      <c r="J48" s="12"/>
      <c r="K48" s="14">
        <f>$K$14</f>
        <v>0</v>
      </c>
    </row>
    <row r="49" spans="1:13" x14ac:dyDescent="0.2">
      <c r="A49" s="4">
        <f t="shared" ref="A49:A102" si="0">IF(A48&lt;($E$10-$E$9)+$E$11,A48+1,NA())</f>
        <v>1</v>
      </c>
      <c r="B49" s="4">
        <f t="shared" ref="B49:B102" si="1">IF(ISERROR(A49),NA(),$E$9+A49-1)</f>
        <v>25</v>
      </c>
      <c r="C49" s="5">
        <f t="shared" ref="C49:C80" si="2">IF(ISERROR(A49),NA(),IF(B49&lt;$E$10,$E$15,$E$16))</f>
        <v>0.08</v>
      </c>
      <c r="D49" s="6">
        <f>E20</f>
        <v>40000</v>
      </c>
      <c r="E49" s="7">
        <f t="shared" ref="E49:E80" si="3">IF(ISERROR(A49),NA(),IF(B49=$E$10-1,$K$26,0)+IF(A49&lt;=$E$12,$K$31*D49,0))</f>
        <v>2008.5688987317287</v>
      </c>
      <c r="F49" s="7" t="str">
        <f>IF(ISERROR(A49),NA(),"")</f>
        <v/>
      </c>
      <c r="G49" s="7">
        <f t="shared" ref="G49:G80" si="4">IF(ISERROR(A49),NA(),IF(A49&lt;=$E$12,MIN($E$25*E49,$E$26*$E$25*D49),0))</f>
        <v>1000</v>
      </c>
      <c r="H49" s="7">
        <f>IF(ISERROR(A49),NA(),IF(ISERROR(B49),0,IF(AND(B49&gt;=$K$19,B49&lt;($K$19+$K$22)),$K$20*(1+$K$21)^(B49-$K$19),0)))</f>
        <v>0</v>
      </c>
      <c r="I49" s="7">
        <f t="shared" ref="I49:I80" si="5">IF(ISERROR(A49),NA(),IF(B49&gt;=$E$10,D49-H49,0))</f>
        <v>0</v>
      </c>
      <c r="J49" s="8">
        <f t="shared" ref="J49:J80" si="6">IF(ISERROR(A49),NA(),FV(C49/$E$43,$E$43,-(E49+G49)/$E$43,-(K48-I49*$E$44),0)-(K48+E49+G49-I49*$E$44))</f>
        <v>2.7284841053187847E-12</v>
      </c>
      <c r="K49" s="8">
        <f t="shared" ref="K49:K80" si="7">IF(ISERROR(A49),NA(),K48+E49+G49+J49-I49)</f>
        <v>3008.5688987317317</v>
      </c>
      <c r="M49" s="79"/>
    </row>
    <row r="50" spans="1:13" x14ac:dyDescent="0.2">
      <c r="A50" s="4">
        <f t="shared" si="0"/>
        <v>2</v>
      </c>
      <c r="B50" s="4">
        <f t="shared" si="1"/>
        <v>26</v>
      </c>
      <c r="C50" s="5">
        <f t="shared" si="2"/>
        <v>0.08</v>
      </c>
      <c r="D50" s="7">
        <f t="shared" ref="D50:D81" si="8">IF(ISERROR(A50),NA(),IF(B50&gt;=$E$10,$K$10*(1+$E$17)^(B50-$E$10),(1+$E$21)*D49))</f>
        <v>40800</v>
      </c>
      <c r="E50" s="7">
        <f t="shared" si="3"/>
        <v>2048.7402767063631</v>
      </c>
      <c r="F50" s="7" t="str">
        <f t="shared" ref="F50:F113" si="9">IF(ISERROR(A50),NA(),"")</f>
        <v/>
      </c>
      <c r="G50" s="7">
        <f t="shared" si="4"/>
        <v>1020</v>
      </c>
      <c r="H50" s="7">
        <f t="shared" ref="H50:H113" si="10">IF(ISERROR(A50),NA(),IF(ISERROR(B50),0,IF(AND(B50&gt;=$K$19,B50&lt;($K$19+$K$22)),$K$20*(1+$K$21)^(B50-$K$19),0)))</f>
        <v>0</v>
      </c>
      <c r="I50" s="7">
        <f t="shared" si="5"/>
        <v>0</v>
      </c>
      <c r="J50" s="8">
        <f t="shared" si="6"/>
        <v>240.68551189854134</v>
      </c>
      <c r="K50" s="8">
        <f t="shared" si="7"/>
        <v>6317.9946873366362</v>
      </c>
      <c r="M50" s="79"/>
    </row>
    <row r="51" spans="1:13" x14ac:dyDescent="0.2">
      <c r="A51" s="4">
        <f t="shared" si="0"/>
        <v>3</v>
      </c>
      <c r="B51" s="4">
        <f t="shared" si="1"/>
        <v>27</v>
      </c>
      <c r="C51" s="5">
        <f t="shared" si="2"/>
        <v>0.08</v>
      </c>
      <c r="D51" s="7">
        <f t="shared" si="8"/>
        <v>41616</v>
      </c>
      <c r="E51" s="7">
        <f t="shared" si="3"/>
        <v>2089.7150822404906</v>
      </c>
      <c r="F51" s="7" t="str">
        <f t="shared" si="9"/>
        <v/>
      </c>
      <c r="G51" s="7">
        <f t="shared" si="4"/>
        <v>1040.4000000000001</v>
      </c>
      <c r="H51" s="7">
        <f t="shared" si="10"/>
        <v>0</v>
      </c>
      <c r="I51" s="7">
        <f t="shared" si="5"/>
        <v>0</v>
      </c>
      <c r="J51" s="8">
        <f t="shared" si="6"/>
        <v>505.43957498693453</v>
      </c>
      <c r="K51" s="8">
        <f t="shared" si="7"/>
        <v>9953.5493445640604</v>
      </c>
      <c r="M51" s="79"/>
    </row>
    <row r="52" spans="1:13" x14ac:dyDescent="0.2">
      <c r="A52" s="4">
        <f t="shared" si="0"/>
        <v>4</v>
      </c>
      <c r="B52" s="4">
        <f t="shared" si="1"/>
        <v>28</v>
      </c>
      <c r="C52" s="5">
        <f t="shared" si="2"/>
        <v>0.08</v>
      </c>
      <c r="D52" s="7">
        <f t="shared" si="8"/>
        <v>42448.32</v>
      </c>
      <c r="E52" s="7">
        <f t="shared" si="3"/>
        <v>2131.5093838853004</v>
      </c>
      <c r="F52" s="7" t="str">
        <f t="shared" si="9"/>
        <v/>
      </c>
      <c r="G52" s="7">
        <f t="shared" si="4"/>
        <v>1061.2080000000001</v>
      </c>
      <c r="H52" s="7">
        <f t="shared" si="10"/>
        <v>0</v>
      </c>
      <c r="I52" s="7">
        <f t="shared" si="5"/>
        <v>0</v>
      </c>
      <c r="J52" s="8">
        <f t="shared" si="6"/>
        <v>796.28394756512716</v>
      </c>
      <c r="K52" s="8">
        <f t="shared" si="7"/>
        <v>13942.550676014489</v>
      </c>
      <c r="M52" s="79"/>
    </row>
    <row r="53" spans="1:13" x14ac:dyDescent="0.2">
      <c r="A53" s="4">
        <f t="shared" si="0"/>
        <v>5</v>
      </c>
      <c r="B53" s="4">
        <f t="shared" si="1"/>
        <v>29</v>
      </c>
      <c r="C53" s="5">
        <f t="shared" si="2"/>
        <v>0.08</v>
      </c>
      <c r="D53" s="7">
        <f t="shared" si="8"/>
        <v>43297.286399999997</v>
      </c>
      <c r="E53" s="7">
        <f t="shared" si="3"/>
        <v>2174.1395715630065</v>
      </c>
      <c r="F53" s="7" t="str">
        <f t="shared" si="9"/>
        <v/>
      </c>
      <c r="G53" s="7">
        <f t="shared" si="4"/>
        <v>1082.4321600000001</v>
      </c>
      <c r="H53" s="7">
        <f t="shared" si="10"/>
        <v>0</v>
      </c>
      <c r="I53" s="7">
        <f t="shared" si="5"/>
        <v>0</v>
      </c>
      <c r="J53" s="8">
        <f t="shared" si="6"/>
        <v>1115.404054081162</v>
      </c>
      <c r="K53" s="8">
        <f t="shared" si="7"/>
        <v>18314.526461658657</v>
      </c>
      <c r="M53" s="79"/>
    </row>
    <row r="54" spans="1:13" x14ac:dyDescent="0.2">
      <c r="A54" s="4">
        <f t="shared" si="0"/>
        <v>6</v>
      </c>
      <c r="B54" s="4">
        <f t="shared" si="1"/>
        <v>30</v>
      </c>
      <c r="C54" s="5">
        <f t="shared" si="2"/>
        <v>0.08</v>
      </c>
      <c r="D54" s="7">
        <f t="shared" si="8"/>
        <v>44163.232127999996</v>
      </c>
      <c r="E54" s="7">
        <f t="shared" si="3"/>
        <v>2217.6223629942665</v>
      </c>
      <c r="F54" s="7" t="str">
        <f t="shared" si="9"/>
        <v/>
      </c>
      <c r="G54" s="7">
        <f t="shared" si="4"/>
        <v>1104.0808032</v>
      </c>
      <c r="H54" s="7">
        <f t="shared" si="10"/>
        <v>0</v>
      </c>
      <c r="I54" s="7">
        <f t="shared" si="5"/>
        <v>0</v>
      </c>
      <c r="J54" s="8">
        <f t="shared" si="6"/>
        <v>1465.1621169327009</v>
      </c>
      <c r="K54" s="8">
        <f t="shared" si="7"/>
        <v>23101.391744785622</v>
      </c>
      <c r="M54" s="79"/>
    </row>
    <row r="55" spans="1:13" x14ac:dyDescent="0.2">
      <c r="A55" s="4">
        <f t="shared" si="0"/>
        <v>7</v>
      </c>
      <c r="B55" s="4">
        <f t="shared" si="1"/>
        <v>31</v>
      </c>
      <c r="C55" s="5">
        <f t="shared" si="2"/>
        <v>0.08</v>
      </c>
      <c r="D55" s="7">
        <f t="shared" si="8"/>
        <v>45046.496770559999</v>
      </c>
      <c r="E55" s="7">
        <f t="shared" si="3"/>
        <v>2261.9748102541521</v>
      </c>
      <c r="F55" s="7" t="str">
        <f t="shared" si="9"/>
        <v/>
      </c>
      <c r="G55" s="7">
        <f t="shared" si="4"/>
        <v>1126.1624192639999</v>
      </c>
      <c r="H55" s="7">
        <f t="shared" si="10"/>
        <v>0</v>
      </c>
      <c r="I55" s="7">
        <f t="shared" si="5"/>
        <v>0</v>
      </c>
      <c r="J55" s="8">
        <f t="shared" si="6"/>
        <v>1848.1113395828506</v>
      </c>
      <c r="K55" s="8">
        <f t="shared" si="7"/>
        <v>28337.640313886626</v>
      </c>
      <c r="M55" s="79"/>
    </row>
    <row r="56" spans="1:13" x14ac:dyDescent="0.2">
      <c r="A56" s="4">
        <f t="shared" si="0"/>
        <v>8</v>
      </c>
      <c r="B56" s="4">
        <f t="shared" si="1"/>
        <v>32</v>
      </c>
      <c r="C56" s="5">
        <f t="shared" si="2"/>
        <v>0.08</v>
      </c>
      <c r="D56" s="7">
        <f t="shared" si="8"/>
        <v>45947.4267059712</v>
      </c>
      <c r="E56" s="7">
        <f t="shared" si="3"/>
        <v>2307.2143064592351</v>
      </c>
      <c r="F56" s="7" t="str">
        <f t="shared" si="9"/>
        <v/>
      </c>
      <c r="G56" s="7">
        <f t="shared" si="4"/>
        <v>1148.68566764928</v>
      </c>
      <c r="H56" s="7">
        <f t="shared" si="10"/>
        <v>0</v>
      </c>
      <c r="I56" s="7">
        <f t="shared" si="5"/>
        <v>0</v>
      </c>
      <c r="J56" s="8">
        <f t="shared" si="6"/>
        <v>2267.0112251109349</v>
      </c>
      <c r="K56" s="8">
        <f t="shared" si="7"/>
        <v>34060.551513106075</v>
      </c>
      <c r="M56" s="79"/>
    </row>
    <row r="57" spans="1:13" x14ac:dyDescent="0.2">
      <c r="A57" s="4">
        <f t="shared" si="0"/>
        <v>9</v>
      </c>
      <c r="B57" s="4">
        <f t="shared" si="1"/>
        <v>33</v>
      </c>
      <c r="C57" s="5">
        <f t="shared" si="2"/>
        <v>0.08</v>
      </c>
      <c r="D57" s="7">
        <f t="shared" si="8"/>
        <v>46866.375240090623</v>
      </c>
      <c r="E57" s="7">
        <f t="shared" si="3"/>
        <v>2353.3585925884195</v>
      </c>
      <c r="F57" s="7" t="str">
        <f t="shared" si="9"/>
        <v/>
      </c>
      <c r="G57" s="7">
        <f t="shared" si="4"/>
        <v>1171.6593810022657</v>
      </c>
      <c r="H57" s="7">
        <f t="shared" si="10"/>
        <v>0</v>
      </c>
      <c r="I57" s="7">
        <f t="shared" si="5"/>
        <v>0</v>
      </c>
      <c r="J57" s="8">
        <f t="shared" si="6"/>
        <v>2724.8441210484889</v>
      </c>
      <c r="K57" s="8">
        <f t="shared" si="7"/>
        <v>40310.413607745249</v>
      </c>
      <c r="M57" s="79"/>
    </row>
    <row r="58" spans="1:13" x14ac:dyDescent="0.2">
      <c r="A58" s="4">
        <f t="shared" si="0"/>
        <v>10</v>
      </c>
      <c r="B58" s="4">
        <f t="shared" si="1"/>
        <v>34</v>
      </c>
      <c r="C58" s="5">
        <f t="shared" si="2"/>
        <v>0.08</v>
      </c>
      <c r="D58" s="7">
        <f t="shared" si="8"/>
        <v>47803.702744892435</v>
      </c>
      <c r="E58" s="7">
        <f t="shared" si="3"/>
        <v>2400.4257644401878</v>
      </c>
      <c r="F58" s="7" t="str">
        <f t="shared" si="9"/>
        <v/>
      </c>
      <c r="G58" s="7">
        <f t="shared" si="4"/>
        <v>1195.0925686223109</v>
      </c>
      <c r="H58" s="7">
        <f t="shared" si="10"/>
        <v>0</v>
      </c>
      <c r="I58" s="7">
        <f t="shared" si="5"/>
        <v>0</v>
      </c>
      <c r="J58" s="8">
        <f t="shared" si="6"/>
        <v>3224.83308861962</v>
      </c>
      <c r="K58" s="8">
        <f t="shared" si="7"/>
        <v>47130.76502942737</v>
      </c>
      <c r="M58" s="79"/>
    </row>
    <row r="59" spans="1:13" x14ac:dyDescent="0.2">
      <c r="A59" s="4">
        <f t="shared" si="0"/>
        <v>11</v>
      </c>
      <c r="B59" s="4">
        <f t="shared" si="1"/>
        <v>35</v>
      </c>
      <c r="C59" s="5">
        <f t="shared" si="2"/>
        <v>0.08</v>
      </c>
      <c r="D59" s="7">
        <f t="shared" si="8"/>
        <v>48759.776799790285</v>
      </c>
      <c r="E59" s="7">
        <f t="shared" si="3"/>
        <v>2448.4342797289919</v>
      </c>
      <c r="F59" s="7" t="str">
        <f t="shared" si="9"/>
        <v/>
      </c>
      <c r="G59" s="7">
        <f t="shared" si="4"/>
        <v>1218.9944199947572</v>
      </c>
      <c r="H59" s="7">
        <f t="shared" si="10"/>
        <v>0</v>
      </c>
      <c r="I59" s="7">
        <f t="shared" si="5"/>
        <v>0</v>
      </c>
      <c r="J59" s="8">
        <f t="shared" si="6"/>
        <v>3770.4612023541922</v>
      </c>
      <c r="K59" s="8">
        <f t="shared" si="7"/>
        <v>54568.654931505313</v>
      </c>
      <c r="M59" s="79"/>
    </row>
    <row r="60" spans="1:13" x14ac:dyDescent="0.2">
      <c r="A60" s="4">
        <f t="shared" si="0"/>
        <v>12</v>
      </c>
      <c r="B60" s="4">
        <f t="shared" si="1"/>
        <v>36</v>
      </c>
      <c r="C60" s="5">
        <f t="shared" si="2"/>
        <v>0.08</v>
      </c>
      <c r="D60" s="7">
        <f t="shared" si="8"/>
        <v>49734.972335786093</v>
      </c>
      <c r="E60" s="7">
        <f t="shared" si="3"/>
        <v>2497.4029653235716</v>
      </c>
      <c r="F60" s="7" t="str">
        <f t="shared" si="9"/>
        <v/>
      </c>
      <c r="G60" s="7">
        <f t="shared" si="4"/>
        <v>1243.3743083946524</v>
      </c>
      <c r="H60" s="7">
        <f t="shared" si="10"/>
        <v>0</v>
      </c>
      <c r="I60" s="7">
        <f t="shared" si="5"/>
        <v>0</v>
      </c>
      <c r="J60" s="8">
        <f t="shared" si="6"/>
        <v>4365.4923945204282</v>
      </c>
      <c r="K60" s="8">
        <f t="shared" si="7"/>
        <v>62674.924599743965</v>
      </c>
      <c r="M60" s="79"/>
    </row>
    <row r="61" spans="1:13" x14ac:dyDescent="0.2">
      <c r="A61" s="4">
        <f t="shared" si="0"/>
        <v>13</v>
      </c>
      <c r="B61" s="4">
        <f t="shared" si="1"/>
        <v>37</v>
      </c>
      <c r="C61" s="5">
        <f t="shared" si="2"/>
        <v>0.08</v>
      </c>
      <c r="D61" s="7">
        <f t="shared" si="8"/>
        <v>50729.671782501813</v>
      </c>
      <c r="E61" s="7">
        <f t="shared" si="3"/>
        <v>2547.351024630043</v>
      </c>
      <c r="F61" s="7" t="str">
        <f t="shared" si="9"/>
        <v/>
      </c>
      <c r="G61" s="7">
        <f t="shared" si="4"/>
        <v>1268.2417945625455</v>
      </c>
      <c r="H61" s="7">
        <f t="shared" si="10"/>
        <v>0</v>
      </c>
      <c r="I61" s="7">
        <f t="shared" si="5"/>
        <v>0</v>
      </c>
      <c r="J61" s="8">
        <f t="shared" si="6"/>
        <v>5013.9939679795352</v>
      </c>
      <c r="K61" s="8">
        <f t="shared" si="7"/>
        <v>71504.511386916085</v>
      </c>
      <c r="M61" s="79"/>
    </row>
    <row r="62" spans="1:13" x14ac:dyDescent="0.2">
      <c r="A62" s="4">
        <f t="shared" si="0"/>
        <v>14</v>
      </c>
      <c r="B62" s="4">
        <f t="shared" si="1"/>
        <v>38</v>
      </c>
      <c r="C62" s="5">
        <f t="shared" si="2"/>
        <v>0.08</v>
      </c>
      <c r="D62" s="7">
        <f t="shared" si="8"/>
        <v>51744.26521815185</v>
      </c>
      <c r="E62" s="7">
        <f t="shared" si="3"/>
        <v>2598.298045122644</v>
      </c>
      <c r="F62" s="7" t="str">
        <f t="shared" si="9"/>
        <v/>
      </c>
      <c r="G62" s="7">
        <f t="shared" si="4"/>
        <v>1293.6066304537962</v>
      </c>
      <c r="H62" s="7">
        <f t="shared" si="10"/>
        <v>0</v>
      </c>
      <c r="I62" s="7">
        <f t="shared" si="5"/>
        <v>0</v>
      </c>
      <c r="J62" s="8">
        <f t="shared" si="6"/>
        <v>5720.360910953299</v>
      </c>
      <c r="K62" s="8">
        <f t="shared" si="7"/>
        <v>81116.776973445827</v>
      </c>
      <c r="M62" s="79"/>
    </row>
    <row r="63" spans="1:13" x14ac:dyDescent="0.2">
      <c r="A63" s="4">
        <f t="shared" si="0"/>
        <v>15</v>
      </c>
      <c r="B63" s="4">
        <f t="shared" si="1"/>
        <v>39</v>
      </c>
      <c r="C63" s="5">
        <f t="shared" si="2"/>
        <v>0.08</v>
      </c>
      <c r="D63" s="7">
        <f t="shared" si="8"/>
        <v>52779.150522514887</v>
      </c>
      <c r="E63" s="7">
        <f t="shared" si="3"/>
        <v>2650.2640060250969</v>
      </c>
      <c r="F63" s="7" t="str">
        <f t="shared" si="9"/>
        <v/>
      </c>
      <c r="G63" s="7">
        <f t="shared" si="4"/>
        <v>1319.4787630628723</v>
      </c>
      <c r="H63" s="7">
        <f t="shared" si="10"/>
        <v>0</v>
      </c>
      <c r="I63" s="7">
        <f t="shared" si="5"/>
        <v>0</v>
      </c>
      <c r="J63" s="8">
        <f t="shared" si="6"/>
        <v>6489.3421578756679</v>
      </c>
      <c r="K63" s="8">
        <f t="shared" si="7"/>
        <v>91575.861900409465</v>
      </c>
      <c r="M63" s="79"/>
    </row>
    <row r="64" spans="1:13" x14ac:dyDescent="0.2">
      <c r="A64" s="4">
        <f t="shared" si="0"/>
        <v>16</v>
      </c>
      <c r="B64" s="4">
        <f t="shared" si="1"/>
        <v>40</v>
      </c>
      <c r="C64" s="5">
        <f t="shared" si="2"/>
        <v>0.08</v>
      </c>
      <c r="D64" s="7">
        <f t="shared" si="8"/>
        <v>53834.733532965183</v>
      </c>
      <c r="E64" s="7">
        <f t="shared" si="3"/>
        <v>2703.2692861455989</v>
      </c>
      <c r="F64" s="7" t="str">
        <f t="shared" si="9"/>
        <v/>
      </c>
      <c r="G64" s="7">
        <f t="shared" si="4"/>
        <v>1345.8683383241296</v>
      </c>
      <c r="H64" s="7">
        <f t="shared" si="10"/>
        <v>0</v>
      </c>
      <c r="I64" s="7">
        <f t="shared" si="5"/>
        <v>0</v>
      </c>
      <c r="J64" s="8">
        <f t="shared" si="6"/>
        <v>7326.0689520327578</v>
      </c>
      <c r="K64" s="8">
        <f t="shared" si="7"/>
        <v>102951.06847691195</v>
      </c>
      <c r="M64" s="79"/>
    </row>
    <row r="65" spans="1:13" x14ac:dyDescent="0.2">
      <c r="A65" s="4">
        <f t="shared" si="0"/>
        <v>17</v>
      </c>
      <c r="B65" s="4">
        <f t="shared" si="1"/>
        <v>41</v>
      </c>
      <c r="C65" s="5">
        <f t="shared" si="2"/>
        <v>0.08</v>
      </c>
      <c r="D65" s="7">
        <f t="shared" si="8"/>
        <v>54911.428203624491</v>
      </c>
      <c r="E65" s="7">
        <f t="shared" si="3"/>
        <v>2757.3346718685111</v>
      </c>
      <c r="F65" s="7" t="str">
        <f t="shared" si="9"/>
        <v/>
      </c>
      <c r="G65" s="7">
        <f t="shared" si="4"/>
        <v>1372.7857050906123</v>
      </c>
      <c r="H65" s="7">
        <f t="shared" si="10"/>
        <v>0</v>
      </c>
      <c r="I65" s="7">
        <f t="shared" si="5"/>
        <v>0</v>
      </c>
      <c r="J65" s="8">
        <f t="shared" si="6"/>
        <v>8236.0854781529633</v>
      </c>
      <c r="K65" s="8">
        <f t="shared" si="7"/>
        <v>115317.27433202404</v>
      </c>
      <c r="M65" s="79"/>
    </row>
    <row r="66" spans="1:13" x14ac:dyDescent="0.2">
      <c r="A66" s="4">
        <f t="shared" si="0"/>
        <v>18</v>
      </c>
      <c r="B66" s="4">
        <f t="shared" si="1"/>
        <v>42</v>
      </c>
      <c r="C66" s="5">
        <f t="shared" si="2"/>
        <v>0.08</v>
      </c>
      <c r="D66" s="7">
        <f t="shared" si="8"/>
        <v>56009.656767696979</v>
      </c>
      <c r="E66" s="7">
        <f t="shared" si="3"/>
        <v>2812.4813653058809</v>
      </c>
      <c r="F66" s="7" t="str">
        <f t="shared" si="9"/>
        <v/>
      </c>
      <c r="G66" s="7">
        <f t="shared" si="4"/>
        <v>1400.2414191924245</v>
      </c>
      <c r="H66" s="7">
        <f t="shared" si="10"/>
        <v>0</v>
      </c>
      <c r="I66" s="7">
        <f t="shared" si="5"/>
        <v>0</v>
      </c>
      <c r="J66" s="8">
        <f t="shared" si="6"/>
        <v>9225.3819465619454</v>
      </c>
      <c r="K66" s="8">
        <f t="shared" si="7"/>
        <v>128755.37906308429</v>
      </c>
      <c r="M66" s="79"/>
    </row>
    <row r="67" spans="1:13" x14ac:dyDescent="0.2">
      <c r="A67" s="4">
        <f t="shared" si="0"/>
        <v>19</v>
      </c>
      <c r="B67" s="4">
        <f t="shared" si="1"/>
        <v>43</v>
      </c>
      <c r="C67" s="5">
        <f t="shared" si="2"/>
        <v>0.08</v>
      </c>
      <c r="D67" s="7">
        <f t="shared" si="8"/>
        <v>57129.849903050919</v>
      </c>
      <c r="E67" s="7">
        <f t="shared" si="3"/>
        <v>2868.7309926119988</v>
      </c>
      <c r="F67" s="7" t="str">
        <f t="shared" si="9"/>
        <v/>
      </c>
      <c r="G67" s="7">
        <f t="shared" si="4"/>
        <v>1428.2462475762732</v>
      </c>
      <c r="H67" s="7">
        <f t="shared" si="10"/>
        <v>0</v>
      </c>
      <c r="I67" s="7">
        <f t="shared" si="5"/>
        <v>0</v>
      </c>
      <c r="J67" s="8">
        <f t="shared" si="6"/>
        <v>10300.430325046793</v>
      </c>
      <c r="K67" s="8">
        <f t="shared" si="7"/>
        <v>143352.78662831933</v>
      </c>
      <c r="M67" s="79"/>
    </row>
    <row r="68" spans="1:13" x14ac:dyDescent="0.2">
      <c r="A68" s="4">
        <f t="shared" si="0"/>
        <v>20</v>
      </c>
      <c r="B68" s="4">
        <f t="shared" si="1"/>
        <v>44</v>
      </c>
      <c r="C68" s="5">
        <f t="shared" si="2"/>
        <v>0.08</v>
      </c>
      <c r="D68" s="7">
        <f t="shared" si="8"/>
        <v>58272.446901111936</v>
      </c>
      <c r="E68" s="7">
        <f t="shared" si="3"/>
        <v>2926.1056124642387</v>
      </c>
      <c r="F68" s="7" t="str">
        <f t="shared" si="9"/>
        <v/>
      </c>
      <c r="G68" s="7">
        <f t="shared" si="4"/>
        <v>1456.8111725277986</v>
      </c>
      <c r="H68" s="7">
        <f t="shared" si="10"/>
        <v>0</v>
      </c>
      <c r="I68" s="7">
        <f t="shared" si="5"/>
        <v>0</v>
      </c>
      <c r="J68" s="8">
        <f t="shared" si="6"/>
        <v>11468.222930265561</v>
      </c>
      <c r="K68" s="8">
        <f t="shared" si="7"/>
        <v>159203.92634357692</v>
      </c>
      <c r="M68" s="79"/>
    </row>
    <row r="69" spans="1:13" x14ac:dyDescent="0.2">
      <c r="A69" s="4">
        <f t="shared" si="0"/>
        <v>21</v>
      </c>
      <c r="B69" s="4">
        <f t="shared" si="1"/>
        <v>45</v>
      </c>
      <c r="C69" s="5">
        <f t="shared" si="2"/>
        <v>0.08</v>
      </c>
      <c r="D69" s="7">
        <f t="shared" si="8"/>
        <v>59437.895839134173</v>
      </c>
      <c r="E69" s="7">
        <f t="shared" si="3"/>
        <v>2984.6277247135231</v>
      </c>
      <c r="F69" s="7" t="str">
        <f t="shared" si="9"/>
        <v/>
      </c>
      <c r="G69" s="7">
        <f t="shared" si="4"/>
        <v>1485.9473959783545</v>
      </c>
      <c r="H69" s="7">
        <f t="shared" si="10"/>
        <v>0</v>
      </c>
      <c r="I69" s="7">
        <f t="shared" si="5"/>
        <v>0</v>
      </c>
      <c r="J69" s="8">
        <f t="shared" si="6"/>
        <v>12736.314107486163</v>
      </c>
      <c r="K69" s="8">
        <f t="shared" si="7"/>
        <v>176410.81557175497</v>
      </c>
      <c r="M69" s="79"/>
    </row>
    <row r="70" spans="1:13" x14ac:dyDescent="0.2">
      <c r="A70" s="4">
        <f t="shared" si="0"/>
        <v>22</v>
      </c>
      <c r="B70" s="4">
        <f t="shared" si="1"/>
        <v>46</v>
      </c>
      <c r="C70" s="5">
        <f t="shared" si="2"/>
        <v>0.08</v>
      </c>
      <c r="D70" s="7">
        <f t="shared" si="8"/>
        <v>60626.653755916857</v>
      </c>
      <c r="E70" s="7">
        <f t="shared" si="3"/>
        <v>3044.3202792077936</v>
      </c>
      <c r="F70" s="7" t="str">
        <f t="shared" si="9"/>
        <v/>
      </c>
      <c r="G70" s="7">
        <f t="shared" si="4"/>
        <v>1515.6663438979215</v>
      </c>
      <c r="H70" s="7">
        <f t="shared" si="10"/>
        <v>0</v>
      </c>
      <c r="I70" s="7">
        <f t="shared" si="5"/>
        <v>0</v>
      </c>
      <c r="J70" s="8">
        <f t="shared" si="6"/>
        <v>14112.865245740395</v>
      </c>
      <c r="K70" s="8">
        <f t="shared" si="7"/>
        <v>195083.6674406011</v>
      </c>
      <c r="M70" s="79"/>
    </row>
    <row r="71" spans="1:13" x14ac:dyDescent="0.2">
      <c r="A71" s="4">
        <f t="shared" si="0"/>
        <v>23</v>
      </c>
      <c r="B71" s="4">
        <f t="shared" si="1"/>
        <v>47</v>
      </c>
      <c r="C71" s="5">
        <f t="shared" si="2"/>
        <v>0.08</v>
      </c>
      <c r="D71" s="7">
        <f t="shared" si="8"/>
        <v>61839.186831035193</v>
      </c>
      <c r="E71" s="7">
        <f t="shared" si="3"/>
        <v>3105.2066847919496</v>
      </c>
      <c r="F71" s="7" t="str">
        <f t="shared" si="9"/>
        <v/>
      </c>
      <c r="G71" s="7">
        <f t="shared" si="4"/>
        <v>1545.9796707758799</v>
      </c>
      <c r="H71" s="7">
        <f t="shared" si="10"/>
        <v>0</v>
      </c>
      <c r="I71" s="7">
        <f t="shared" si="5"/>
        <v>0</v>
      </c>
      <c r="J71" s="8">
        <f t="shared" si="6"/>
        <v>15606.69339524809</v>
      </c>
      <c r="K71" s="8">
        <f t="shared" si="7"/>
        <v>215341.54719141702</v>
      </c>
      <c r="M71" s="79"/>
    </row>
    <row r="72" spans="1:13" x14ac:dyDescent="0.2">
      <c r="A72" s="4">
        <f t="shared" si="0"/>
        <v>24</v>
      </c>
      <c r="B72" s="4">
        <f t="shared" si="1"/>
        <v>48</v>
      </c>
      <c r="C72" s="5">
        <f t="shared" si="2"/>
        <v>0.08</v>
      </c>
      <c r="D72" s="7">
        <f t="shared" si="8"/>
        <v>63075.970567655895</v>
      </c>
      <c r="E72" s="7">
        <f t="shared" si="3"/>
        <v>3167.3108184877883</v>
      </c>
      <c r="F72" s="7" t="str">
        <f t="shared" si="9"/>
        <v/>
      </c>
      <c r="G72" s="7">
        <f t="shared" si="4"/>
        <v>1576.8992641913974</v>
      </c>
      <c r="H72" s="7">
        <f t="shared" si="10"/>
        <v>0</v>
      </c>
      <c r="I72" s="7">
        <f t="shared" si="5"/>
        <v>0</v>
      </c>
      <c r="J72" s="8">
        <f t="shared" si="6"/>
        <v>17227.323775313416</v>
      </c>
      <c r="K72" s="8">
        <f t="shared" si="7"/>
        <v>237313.08104940961</v>
      </c>
      <c r="M72" s="79"/>
    </row>
    <row r="73" spans="1:13" x14ac:dyDescent="0.2">
      <c r="A73" s="4">
        <f t="shared" si="0"/>
        <v>25</v>
      </c>
      <c r="B73" s="4">
        <f t="shared" si="1"/>
        <v>49</v>
      </c>
      <c r="C73" s="5">
        <f t="shared" si="2"/>
        <v>0.08</v>
      </c>
      <c r="D73" s="7">
        <f t="shared" si="8"/>
        <v>64337.489979009013</v>
      </c>
      <c r="E73" s="7">
        <f t="shared" si="3"/>
        <v>3230.6570348575442</v>
      </c>
      <c r="F73" s="7" t="str">
        <f t="shared" si="9"/>
        <v/>
      </c>
      <c r="G73" s="7">
        <f t="shared" si="4"/>
        <v>1608.4372494752254</v>
      </c>
      <c r="H73" s="7">
        <f t="shared" si="10"/>
        <v>0</v>
      </c>
      <c r="I73" s="7">
        <f t="shared" si="5"/>
        <v>0</v>
      </c>
      <c r="J73" s="8">
        <f t="shared" si="6"/>
        <v>18985.046483952785</v>
      </c>
      <c r="K73" s="8">
        <f t="shared" si="7"/>
        <v>261137.22181769516</v>
      </c>
      <c r="M73" s="79"/>
    </row>
    <row r="74" spans="1:13" x14ac:dyDescent="0.2">
      <c r="A74" s="4">
        <f t="shared" si="0"/>
        <v>26</v>
      </c>
      <c r="B74" s="4">
        <f t="shared" si="1"/>
        <v>50</v>
      </c>
      <c r="C74" s="5">
        <f t="shared" si="2"/>
        <v>0.08</v>
      </c>
      <c r="D74" s="7">
        <f t="shared" si="8"/>
        <v>65624.239778589195</v>
      </c>
      <c r="E74" s="7">
        <f t="shared" si="3"/>
        <v>3295.270175554695</v>
      </c>
      <c r="F74" s="7" t="str">
        <f t="shared" si="9"/>
        <v/>
      </c>
      <c r="G74" s="7">
        <f t="shared" si="4"/>
        <v>1640.60599446473</v>
      </c>
      <c r="H74" s="7">
        <f t="shared" si="10"/>
        <v>0</v>
      </c>
      <c r="I74" s="7">
        <f t="shared" si="5"/>
        <v>0</v>
      </c>
      <c r="J74" s="8">
        <f t="shared" si="6"/>
        <v>20890.977745415643</v>
      </c>
      <c r="K74" s="8">
        <f t="shared" si="7"/>
        <v>286964.07573313022</v>
      </c>
      <c r="M74" s="79"/>
    </row>
    <row r="75" spans="1:13" x14ac:dyDescent="0.2">
      <c r="A75" s="4">
        <f t="shared" si="0"/>
        <v>27</v>
      </c>
      <c r="B75" s="4">
        <f t="shared" si="1"/>
        <v>51</v>
      </c>
      <c r="C75" s="5">
        <f t="shared" si="2"/>
        <v>0.08</v>
      </c>
      <c r="D75" s="7">
        <f t="shared" si="8"/>
        <v>66936.72457416098</v>
      </c>
      <c r="E75" s="7">
        <f t="shared" si="3"/>
        <v>3361.1755790657894</v>
      </c>
      <c r="F75" s="7" t="str">
        <f t="shared" si="9"/>
        <v/>
      </c>
      <c r="G75" s="7">
        <f t="shared" si="4"/>
        <v>1673.4181143540245</v>
      </c>
      <c r="H75" s="7">
        <f t="shared" si="10"/>
        <v>0</v>
      </c>
      <c r="I75" s="7">
        <f t="shared" si="5"/>
        <v>0</v>
      </c>
      <c r="J75" s="8">
        <f t="shared" si="6"/>
        <v>22957.126058650436</v>
      </c>
      <c r="K75" s="8">
        <f t="shared" si="7"/>
        <v>314955.79548520048</v>
      </c>
      <c r="M75" s="79"/>
    </row>
    <row r="76" spans="1:13" x14ac:dyDescent="0.2">
      <c r="A76" s="4">
        <f t="shared" si="0"/>
        <v>28</v>
      </c>
      <c r="B76" s="4">
        <f t="shared" si="1"/>
        <v>52</v>
      </c>
      <c r="C76" s="5">
        <f t="shared" si="2"/>
        <v>0.08</v>
      </c>
      <c r="D76" s="7">
        <f t="shared" si="8"/>
        <v>68275.459065644201</v>
      </c>
      <c r="E76" s="7">
        <f t="shared" si="3"/>
        <v>3428.3990906471049</v>
      </c>
      <c r="F76" s="7" t="str">
        <f t="shared" si="9"/>
        <v/>
      </c>
      <c r="G76" s="7">
        <f t="shared" si="4"/>
        <v>1706.8864766411052</v>
      </c>
      <c r="H76" s="7">
        <f t="shared" si="10"/>
        <v>0</v>
      </c>
      <c r="I76" s="7">
        <f t="shared" si="5"/>
        <v>0</v>
      </c>
      <c r="J76" s="8">
        <f t="shared" si="6"/>
        <v>25196.463638816087</v>
      </c>
      <c r="K76" s="8">
        <f t="shared" si="7"/>
        <v>345287.54469130479</v>
      </c>
      <c r="M76" s="79"/>
    </row>
    <row r="77" spans="1:13" x14ac:dyDescent="0.2">
      <c r="A77" s="4">
        <f t="shared" si="0"/>
        <v>29</v>
      </c>
      <c r="B77" s="4">
        <f t="shared" si="1"/>
        <v>53</v>
      </c>
      <c r="C77" s="5">
        <f t="shared" si="2"/>
        <v>0.08</v>
      </c>
      <c r="D77" s="7">
        <f t="shared" si="8"/>
        <v>69640.968246957083</v>
      </c>
      <c r="E77" s="7">
        <f t="shared" si="3"/>
        <v>3496.9670724600469</v>
      </c>
      <c r="F77" s="7" t="str">
        <f t="shared" si="9"/>
        <v/>
      </c>
      <c r="G77" s="7">
        <f t="shared" si="4"/>
        <v>1741.0242061739273</v>
      </c>
      <c r="H77" s="7">
        <f t="shared" si="10"/>
        <v>0</v>
      </c>
      <c r="I77" s="7">
        <f t="shared" si="5"/>
        <v>0</v>
      </c>
      <c r="J77" s="8">
        <f t="shared" si="6"/>
        <v>27623.003575304407</v>
      </c>
      <c r="K77" s="8">
        <f t="shared" si="7"/>
        <v>378148.5395452432</v>
      </c>
      <c r="M77" s="79"/>
    </row>
    <row r="78" spans="1:13" x14ac:dyDescent="0.2">
      <c r="A78" s="4">
        <f t="shared" si="0"/>
        <v>30</v>
      </c>
      <c r="B78" s="4">
        <f t="shared" si="1"/>
        <v>54</v>
      </c>
      <c r="C78" s="5">
        <f t="shared" si="2"/>
        <v>0.08</v>
      </c>
      <c r="D78" s="7">
        <f t="shared" si="8"/>
        <v>71033.78761189623</v>
      </c>
      <c r="E78" s="7">
        <f t="shared" si="3"/>
        <v>3566.9064139092484</v>
      </c>
      <c r="F78" s="7" t="str">
        <f t="shared" si="9"/>
        <v/>
      </c>
      <c r="G78" s="7">
        <f t="shared" si="4"/>
        <v>1775.8446902974058</v>
      </c>
      <c r="H78" s="7">
        <f t="shared" si="10"/>
        <v>0</v>
      </c>
      <c r="I78" s="7">
        <f t="shared" si="5"/>
        <v>0</v>
      </c>
      <c r="J78" s="8">
        <f t="shared" si="6"/>
        <v>30251.883163619554</v>
      </c>
      <c r="K78" s="8">
        <f t="shared" si="7"/>
        <v>413743.17381306936</v>
      </c>
      <c r="M78" s="79"/>
    </row>
    <row r="79" spans="1:13" x14ac:dyDescent="0.2">
      <c r="A79" s="4">
        <f t="shared" si="0"/>
        <v>31</v>
      </c>
      <c r="B79" s="4">
        <f t="shared" si="1"/>
        <v>55</v>
      </c>
      <c r="C79" s="5">
        <f t="shared" si="2"/>
        <v>0.08</v>
      </c>
      <c r="D79" s="7">
        <f t="shared" si="8"/>
        <v>72454.46336413415</v>
      </c>
      <c r="E79" s="7">
        <f t="shared" si="3"/>
        <v>3638.2445421874331</v>
      </c>
      <c r="F79" s="7" t="str">
        <f t="shared" si="9"/>
        <v/>
      </c>
      <c r="G79" s="7">
        <f t="shared" si="4"/>
        <v>1811.3615841033538</v>
      </c>
      <c r="H79" s="7">
        <f t="shared" si="10"/>
        <v>0</v>
      </c>
      <c r="I79" s="7">
        <f t="shared" si="5"/>
        <v>0</v>
      </c>
      <c r="J79" s="8">
        <f t="shared" si="6"/>
        <v>33099.453905045579</v>
      </c>
      <c r="K79" s="8">
        <f t="shared" si="7"/>
        <v>452292.23384440574</v>
      </c>
      <c r="M79" s="79"/>
    </row>
    <row r="80" spans="1:13" x14ac:dyDescent="0.2">
      <c r="A80" s="4">
        <f t="shared" si="0"/>
        <v>32</v>
      </c>
      <c r="B80" s="4">
        <f t="shared" si="1"/>
        <v>56</v>
      </c>
      <c r="C80" s="5">
        <f t="shared" si="2"/>
        <v>0.08</v>
      </c>
      <c r="D80" s="7">
        <f t="shared" si="8"/>
        <v>73903.552631416838</v>
      </c>
      <c r="E80" s="7">
        <f t="shared" si="3"/>
        <v>3711.0094330311817</v>
      </c>
      <c r="F80" s="7" t="str">
        <f t="shared" si="9"/>
        <v/>
      </c>
      <c r="G80" s="7">
        <f t="shared" si="4"/>
        <v>1847.588815785421</v>
      </c>
      <c r="H80" s="7">
        <f t="shared" si="10"/>
        <v>0</v>
      </c>
      <c r="I80" s="7">
        <f t="shared" si="5"/>
        <v>0</v>
      </c>
      <c r="J80" s="8">
        <f t="shared" si="6"/>
        <v>36183.378707552503</v>
      </c>
      <c r="K80" s="8">
        <f t="shared" si="7"/>
        <v>494034.21080077486</v>
      </c>
      <c r="M80" s="79"/>
    </row>
    <row r="81" spans="1:13" x14ac:dyDescent="0.2">
      <c r="A81" s="4">
        <f t="shared" si="0"/>
        <v>33</v>
      </c>
      <c r="B81" s="4">
        <f t="shared" si="1"/>
        <v>57</v>
      </c>
      <c r="C81" s="5">
        <f t="shared" ref="C81:C112" si="11">IF(ISERROR(A81),NA(),IF(B81&lt;$E$10,$E$15,$E$16))</f>
        <v>0.08</v>
      </c>
      <c r="D81" s="7">
        <f t="shared" si="8"/>
        <v>75381.623684045175</v>
      </c>
      <c r="E81" s="7">
        <f t="shared" ref="E81:E112" si="12">IF(ISERROR(A81),NA(),IF(B81=$E$10-1,$K$26,0)+IF(A81&lt;=$E$12,$K$31*D81,0))</f>
        <v>3785.2296216918057</v>
      </c>
      <c r="F81" s="7" t="str">
        <f t="shared" si="9"/>
        <v/>
      </c>
      <c r="G81" s="7">
        <f t="shared" ref="G81:G112" si="13">IF(ISERROR(A81),NA(),IF(A81&lt;=$E$12,MIN($E$25*E81,$E$26*$E$25*D81),0))</f>
        <v>1884.5405921011295</v>
      </c>
      <c r="H81" s="7">
        <f t="shared" si="10"/>
        <v>0</v>
      </c>
      <c r="I81" s="7">
        <f t="shared" ref="I81:I112" si="14">IF(ISERROR(A81),NA(),IF(B81&gt;=$E$10,D81-H81,0))</f>
        <v>0</v>
      </c>
      <c r="J81" s="8">
        <f t="shared" ref="J81:J112" si="15">IF(ISERROR(A81),NA(),FV(C81/$E$43,$E$43,-(E81+G81)/$E$43,-(K80-I81*$E$44),0)-(K80+E81+G81-I81*$E$44))</f>
        <v>39522.736864062026</v>
      </c>
      <c r="K81" s="8">
        <f t="shared" ref="K81:K112" si="16">IF(ISERROR(A81),NA(),K80+E81+G81+J81-I81)</f>
        <v>539226.7178786298</v>
      </c>
      <c r="M81" s="79"/>
    </row>
    <row r="82" spans="1:13" x14ac:dyDescent="0.2">
      <c r="A82" s="4">
        <f t="shared" si="0"/>
        <v>34</v>
      </c>
      <c r="B82" s="4">
        <f t="shared" si="1"/>
        <v>58</v>
      </c>
      <c r="C82" s="5">
        <f t="shared" si="11"/>
        <v>0.08</v>
      </c>
      <c r="D82" s="7">
        <f t="shared" ref="D82:D113" si="17">IF(ISERROR(A82),NA(),IF(B82&gt;=$E$10,$K$10*(1+$E$17)^(B82-$E$10),(1+$E$21)*D81))</f>
        <v>76889.256157726079</v>
      </c>
      <c r="E82" s="7">
        <f t="shared" si="12"/>
        <v>3860.9342141256416</v>
      </c>
      <c r="F82" s="7" t="str">
        <f t="shared" si="9"/>
        <v/>
      </c>
      <c r="G82" s="7">
        <f t="shared" si="13"/>
        <v>1922.2314039431521</v>
      </c>
      <c r="H82" s="7">
        <f t="shared" si="10"/>
        <v>0</v>
      </c>
      <c r="I82" s="7">
        <f t="shared" si="14"/>
        <v>0</v>
      </c>
      <c r="J82" s="8">
        <f t="shared" si="15"/>
        <v>43138.137430290459</v>
      </c>
      <c r="K82" s="8">
        <f t="shared" si="16"/>
        <v>588148.02092698903</v>
      </c>
      <c r="M82" s="79"/>
    </row>
    <row r="83" spans="1:13" x14ac:dyDescent="0.2">
      <c r="A83" s="4">
        <f t="shared" si="0"/>
        <v>35</v>
      </c>
      <c r="B83" s="4">
        <f t="shared" si="1"/>
        <v>59</v>
      </c>
      <c r="C83" s="5">
        <f t="shared" si="11"/>
        <v>0.08</v>
      </c>
      <c r="D83" s="7">
        <f t="shared" si="17"/>
        <v>78427.0412808806</v>
      </c>
      <c r="E83" s="7">
        <f t="shared" si="12"/>
        <v>3938.1528984081542</v>
      </c>
      <c r="F83" s="7" t="str">
        <f t="shared" si="9"/>
        <v/>
      </c>
      <c r="G83" s="7">
        <f t="shared" si="13"/>
        <v>1960.6760320220151</v>
      </c>
      <c r="H83" s="7">
        <f t="shared" si="10"/>
        <v>0</v>
      </c>
      <c r="I83" s="7">
        <f t="shared" si="14"/>
        <v>0</v>
      </c>
      <c r="J83" s="8">
        <f t="shared" si="15"/>
        <v>47051.841674159281</v>
      </c>
      <c r="K83" s="8">
        <f t="shared" si="16"/>
        <v>641098.69153157843</v>
      </c>
      <c r="M83" s="79"/>
    </row>
    <row r="84" spans="1:13" x14ac:dyDescent="0.2">
      <c r="A84" s="4">
        <f t="shared" si="0"/>
        <v>36</v>
      </c>
      <c r="B84" s="4">
        <f t="shared" si="1"/>
        <v>60</v>
      </c>
      <c r="C84" s="5">
        <f t="shared" si="11"/>
        <v>0.08</v>
      </c>
      <c r="D84" s="7">
        <f t="shared" si="17"/>
        <v>79995.582106498216</v>
      </c>
      <c r="E84" s="7">
        <f t="shared" si="12"/>
        <v>4016.9159563763178</v>
      </c>
      <c r="F84" s="7" t="str">
        <f t="shared" si="9"/>
        <v/>
      </c>
      <c r="G84" s="7">
        <f t="shared" si="13"/>
        <v>1999.8895526624556</v>
      </c>
      <c r="H84" s="7">
        <f t="shared" si="10"/>
        <v>0</v>
      </c>
      <c r="I84" s="7">
        <f t="shared" si="14"/>
        <v>0</v>
      </c>
      <c r="J84" s="8">
        <f t="shared" si="15"/>
        <v>51287.895322526223</v>
      </c>
      <c r="K84" s="8">
        <f t="shared" si="16"/>
        <v>698403.3923631435</v>
      </c>
      <c r="M84" s="79"/>
    </row>
    <row r="85" spans="1:13" x14ac:dyDescent="0.2">
      <c r="A85" s="4">
        <f t="shared" si="0"/>
        <v>37</v>
      </c>
      <c r="B85" s="4">
        <f t="shared" si="1"/>
        <v>61</v>
      </c>
      <c r="C85" s="5">
        <f t="shared" si="11"/>
        <v>0.08</v>
      </c>
      <c r="D85" s="7">
        <f t="shared" si="17"/>
        <v>81595.493748628185</v>
      </c>
      <c r="E85" s="7">
        <f t="shared" si="12"/>
        <v>4097.2542755038439</v>
      </c>
      <c r="F85" s="7" t="str">
        <f t="shared" si="9"/>
        <v/>
      </c>
      <c r="G85" s="7">
        <f t="shared" si="13"/>
        <v>2039.8873437157047</v>
      </c>
      <c r="H85" s="7">
        <f t="shared" si="10"/>
        <v>0</v>
      </c>
      <c r="I85" s="7">
        <f t="shared" si="14"/>
        <v>0</v>
      </c>
      <c r="J85" s="8">
        <f t="shared" si="15"/>
        <v>55872.271389051573</v>
      </c>
      <c r="K85" s="8">
        <f t="shared" si="16"/>
        <v>760412.80537141464</v>
      </c>
      <c r="M85" s="79"/>
    </row>
    <row r="86" spans="1:13" x14ac:dyDescent="0.2">
      <c r="A86" s="4">
        <f t="shared" si="0"/>
        <v>38</v>
      </c>
      <c r="B86" s="4">
        <f t="shared" si="1"/>
        <v>62</v>
      </c>
      <c r="C86" s="5">
        <f t="shared" si="11"/>
        <v>0.08</v>
      </c>
      <c r="D86" s="7">
        <f t="shared" si="17"/>
        <v>83227.403623600752</v>
      </c>
      <c r="E86" s="7">
        <f t="shared" si="12"/>
        <v>4179.1993610139216</v>
      </c>
      <c r="F86" s="7" t="str">
        <f t="shared" si="9"/>
        <v/>
      </c>
      <c r="G86" s="7">
        <f t="shared" si="13"/>
        <v>2080.6850905900187</v>
      </c>
      <c r="H86" s="7">
        <f t="shared" si="10"/>
        <v>0</v>
      </c>
      <c r="I86" s="7">
        <f t="shared" si="14"/>
        <v>0</v>
      </c>
      <c r="J86" s="8">
        <f t="shared" si="15"/>
        <v>60833.024429713259</v>
      </c>
      <c r="K86" s="8">
        <f t="shared" si="16"/>
        <v>827505.71425273188</v>
      </c>
      <c r="M86" s="79"/>
    </row>
    <row r="87" spans="1:13" x14ac:dyDescent="0.2">
      <c r="A87" s="4">
        <f t="shared" si="0"/>
        <v>39</v>
      </c>
      <c r="B87" s="4">
        <f t="shared" si="1"/>
        <v>63</v>
      </c>
      <c r="C87" s="5">
        <f t="shared" si="11"/>
        <v>0.08</v>
      </c>
      <c r="D87" s="7">
        <f t="shared" si="17"/>
        <v>84891.951696072763</v>
      </c>
      <c r="E87" s="7">
        <f t="shared" si="12"/>
        <v>4262.7833482341994</v>
      </c>
      <c r="F87" s="7" t="str">
        <f t="shared" si="9"/>
        <v/>
      </c>
      <c r="G87" s="7">
        <f t="shared" si="13"/>
        <v>2122.2987924018194</v>
      </c>
      <c r="H87" s="7">
        <f t="shared" si="10"/>
        <v>0</v>
      </c>
      <c r="I87" s="7">
        <f t="shared" si="14"/>
        <v>0</v>
      </c>
      <c r="J87" s="8">
        <f t="shared" si="15"/>
        <v>66200.457140218583</v>
      </c>
      <c r="K87" s="8">
        <f t="shared" si="16"/>
        <v>900091.25353358651</v>
      </c>
      <c r="M87" s="79"/>
    </row>
    <row r="88" spans="1:13" x14ac:dyDescent="0.2">
      <c r="A88" s="4">
        <f t="shared" si="0"/>
        <v>40</v>
      </c>
      <c r="B88" s="4">
        <f t="shared" si="1"/>
        <v>64</v>
      </c>
      <c r="C88" s="5">
        <f t="shared" si="11"/>
        <v>0.08</v>
      </c>
      <c r="D88" s="7">
        <f t="shared" si="17"/>
        <v>86589.790729994216</v>
      </c>
      <c r="E88" s="7">
        <f t="shared" si="12"/>
        <v>4348.0390151988831</v>
      </c>
      <c r="F88" s="7" t="str">
        <f t="shared" si="9"/>
        <v/>
      </c>
      <c r="G88" s="7">
        <f t="shared" si="13"/>
        <v>2164.7447682498555</v>
      </c>
      <c r="H88" s="7">
        <f t="shared" si="10"/>
        <v>0</v>
      </c>
      <c r="I88" s="7">
        <f t="shared" si="14"/>
        <v>0</v>
      </c>
      <c r="J88" s="8">
        <f t="shared" si="15"/>
        <v>72007.300282686949</v>
      </c>
      <c r="K88" s="8">
        <f t="shared" si="16"/>
        <v>978611.3375997222</v>
      </c>
      <c r="M88" s="79"/>
    </row>
    <row r="89" spans="1:13" x14ac:dyDescent="0.2">
      <c r="A89" s="4">
        <f t="shared" si="0"/>
        <v>41</v>
      </c>
      <c r="B89" s="4">
        <f t="shared" si="1"/>
        <v>65</v>
      </c>
      <c r="C89" s="5">
        <f t="shared" si="11"/>
        <v>0.03</v>
      </c>
      <c r="D89" s="7">
        <f t="shared" si="17"/>
        <v>39144.453503988865</v>
      </c>
      <c r="E89" s="7">
        <f t="shared" si="12"/>
        <v>0</v>
      </c>
      <c r="F89" s="7" t="str">
        <f t="shared" si="9"/>
        <v/>
      </c>
      <c r="G89" s="7">
        <f t="shared" si="13"/>
        <v>0</v>
      </c>
      <c r="H89" s="7">
        <f t="shared" si="10"/>
        <v>0</v>
      </c>
      <c r="I89" s="7">
        <f t="shared" si="14"/>
        <v>39144.453503988865</v>
      </c>
      <c r="J89" s="8">
        <f t="shared" si="15"/>
        <v>28184.00652287202</v>
      </c>
      <c r="K89" s="8">
        <f t="shared" si="16"/>
        <v>967650.89061860531</v>
      </c>
      <c r="M89" s="79"/>
    </row>
    <row r="90" spans="1:13" x14ac:dyDescent="0.2">
      <c r="A90" s="4">
        <f t="shared" si="0"/>
        <v>42</v>
      </c>
      <c r="B90" s="4">
        <f t="shared" si="1"/>
        <v>66</v>
      </c>
      <c r="C90" s="5">
        <f t="shared" si="11"/>
        <v>0.03</v>
      </c>
      <c r="D90" s="7">
        <f t="shared" si="17"/>
        <v>40318.787109108533</v>
      </c>
      <c r="E90" s="7">
        <f t="shared" si="12"/>
        <v>0</v>
      </c>
      <c r="F90" s="7" t="str">
        <f t="shared" si="9"/>
        <v/>
      </c>
      <c r="G90" s="7">
        <f t="shared" si="13"/>
        <v>0</v>
      </c>
      <c r="H90" s="7">
        <f t="shared" si="10"/>
        <v>0</v>
      </c>
      <c r="I90" s="7">
        <f t="shared" si="14"/>
        <v>40318.787109108533</v>
      </c>
      <c r="J90" s="8">
        <f t="shared" si="15"/>
        <v>27819.963105284958</v>
      </c>
      <c r="K90" s="8">
        <f t="shared" si="16"/>
        <v>955152.06661478174</v>
      </c>
      <c r="M90" s="79"/>
    </row>
    <row r="91" spans="1:13" x14ac:dyDescent="0.2">
      <c r="A91" s="4">
        <f t="shared" si="0"/>
        <v>43</v>
      </c>
      <c r="B91" s="4">
        <f t="shared" si="1"/>
        <v>67</v>
      </c>
      <c r="C91" s="5">
        <f t="shared" si="11"/>
        <v>0.03</v>
      </c>
      <c r="D91" s="7">
        <f t="shared" si="17"/>
        <v>41528.350722381787</v>
      </c>
      <c r="E91" s="7">
        <f t="shared" si="12"/>
        <v>0</v>
      </c>
      <c r="F91" s="7" t="str">
        <f t="shared" si="9"/>
        <v/>
      </c>
      <c r="G91" s="7">
        <f t="shared" si="13"/>
        <v>0</v>
      </c>
      <c r="H91" s="7">
        <f t="shared" si="10"/>
        <v>0</v>
      </c>
      <c r="I91" s="7">
        <f t="shared" si="14"/>
        <v>41528.350722381787</v>
      </c>
      <c r="J91" s="8">
        <f t="shared" si="15"/>
        <v>27408.711476771976</v>
      </c>
      <c r="K91" s="8">
        <f t="shared" si="16"/>
        <v>941032.42736917199</v>
      </c>
      <c r="M91" s="79"/>
    </row>
    <row r="92" spans="1:13" x14ac:dyDescent="0.2">
      <c r="A92" s="4">
        <f t="shared" si="0"/>
        <v>44</v>
      </c>
      <c r="B92" s="4">
        <f t="shared" si="1"/>
        <v>68</v>
      </c>
      <c r="C92" s="5">
        <f t="shared" si="11"/>
        <v>0.03</v>
      </c>
      <c r="D92" s="7">
        <f t="shared" si="17"/>
        <v>42774.201244053242</v>
      </c>
      <c r="E92" s="7">
        <f t="shared" si="12"/>
        <v>0</v>
      </c>
      <c r="F92" s="7" t="str">
        <f t="shared" si="9"/>
        <v/>
      </c>
      <c r="G92" s="7">
        <f t="shared" si="13"/>
        <v>0</v>
      </c>
      <c r="H92" s="7">
        <f t="shared" si="10"/>
        <v>0</v>
      </c>
      <c r="I92" s="7">
        <f t="shared" si="14"/>
        <v>42774.201244053242</v>
      </c>
      <c r="J92" s="8">
        <f t="shared" si="15"/>
        <v>26947.746783753624</v>
      </c>
      <c r="K92" s="8">
        <f t="shared" si="16"/>
        <v>925205.97290887241</v>
      </c>
      <c r="M92" s="79"/>
    </row>
    <row r="93" spans="1:13" x14ac:dyDescent="0.2">
      <c r="A93" s="4">
        <f t="shared" si="0"/>
        <v>45</v>
      </c>
      <c r="B93" s="4">
        <f t="shared" si="1"/>
        <v>69</v>
      </c>
      <c r="C93" s="5">
        <f t="shared" si="11"/>
        <v>0.03</v>
      </c>
      <c r="D93" s="7">
        <f t="shared" si="17"/>
        <v>44057.427281374832</v>
      </c>
      <c r="E93" s="7">
        <f t="shared" si="12"/>
        <v>0</v>
      </c>
      <c r="F93" s="7" t="str">
        <f t="shared" si="9"/>
        <v/>
      </c>
      <c r="G93" s="7">
        <f t="shared" si="13"/>
        <v>0</v>
      </c>
      <c r="H93" s="7">
        <f t="shared" si="10"/>
        <v>0</v>
      </c>
      <c r="I93" s="7">
        <f t="shared" si="14"/>
        <v>44057.427281374832</v>
      </c>
      <c r="J93" s="8">
        <f t="shared" si="15"/>
        <v>26434.456368824933</v>
      </c>
      <c r="K93" s="8">
        <f t="shared" si="16"/>
        <v>907583.00199632253</v>
      </c>
      <c r="M93" s="79"/>
    </row>
    <row r="94" spans="1:13" x14ac:dyDescent="0.2">
      <c r="A94" s="4">
        <f t="shared" si="0"/>
        <v>46</v>
      </c>
      <c r="B94" s="4">
        <f t="shared" si="1"/>
        <v>70</v>
      </c>
      <c r="C94" s="5">
        <f t="shared" si="11"/>
        <v>0.03</v>
      </c>
      <c r="D94" s="7">
        <f t="shared" si="17"/>
        <v>45379.150099816077</v>
      </c>
      <c r="E94" s="7">
        <f t="shared" si="12"/>
        <v>0</v>
      </c>
      <c r="F94" s="7" t="str">
        <f t="shared" si="9"/>
        <v/>
      </c>
      <c r="G94" s="7">
        <f t="shared" si="13"/>
        <v>0</v>
      </c>
      <c r="H94" s="7">
        <f t="shared" si="10"/>
        <v>0</v>
      </c>
      <c r="I94" s="7">
        <f t="shared" si="14"/>
        <v>45379.150099816077</v>
      </c>
      <c r="J94" s="8">
        <f t="shared" si="15"/>
        <v>25866.115556895267</v>
      </c>
      <c r="K94" s="8">
        <f t="shared" si="16"/>
        <v>888069.96745340177</v>
      </c>
      <c r="M94" s="79"/>
    </row>
    <row r="95" spans="1:13" x14ac:dyDescent="0.2">
      <c r="A95" s="4">
        <f t="shared" si="0"/>
        <v>47</v>
      </c>
      <c r="B95" s="4">
        <f t="shared" si="1"/>
        <v>71</v>
      </c>
      <c r="C95" s="5">
        <f t="shared" si="11"/>
        <v>0.03</v>
      </c>
      <c r="D95" s="7">
        <f t="shared" si="17"/>
        <v>46740.524602810561</v>
      </c>
      <c r="E95" s="7">
        <f t="shared" si="12"/>
        <v>0</v>
      </c>
      <c r="F95" s="7" t="str">
        <f t="shared" si="9"/>
        <v/>
      </c>
      <c r="G95" s="7">
        <f t="shared" si="13"/>
        <v>0</v>
      </c>
      <c r="H95" s="7">
        <f t="shared" si="10"/>
        <v>0</v>
      </c>
      <c r="I95" s="7">
        <f t="shared" si="14"/>
        <v>46740.524602810561</v>
      </c>
      <c r="J95" s="8">
        <f t="shared" si="15"/>
        <v>25239.883285517804</v>
      </c>
      <c r="K95" s="8">
        <f t="shared" si="16"/>
        <v>866569.32613610895</v>
      </c>
      <c r="M95" s="79"/>
    </row>
    <row r="96" spans="1:13" x14ac:dyDescent="0.2">
      <c r="A96" s="4">
        <f t="shared" si="0"/>
        <v>48</v>
      </c>
      <c r="B96" s="4">
        <f t="shared" si="1"/>
        <v>72</v>
      </c>
      <c r="C96" s="5">
        <f t="shared" si="11"/>
        <v>0.03</v>
      </c>
      <c r="D96" s="7">
        <f t="shared" si="17"/>
        <v>48142.740340894881</v>
      </c>
      <c r="E96" s="7">
        <f t="shared" si="12"/>
        <v>0</v>
      </c>
      <c r="F96" s="7" t="str">
        <f t="shared" si="9"/>
        <v/>
      </c>
      <c r="G96" s="7">
        <f t="shared" si="13"/>
        <v>0</v>
      </c>
      <c r="H96" s="7">
        <f t="shared" si="10"/>
        <v>0</v>
      </c>
      <c r="I96" s="7">
        <f t="shared" si="14"/>
        <v>48142.740340894881</v>
      </c>
      <c r="J96" s="8">
        <f t="shared" si="15"/>
        <v>24552.797573856427</v>
      </c>
      <c r="K96" s="8">
        <f t="shared" si="16"/>
        <v>842979.38336907048</v>
      </c>
      <c r="M96" s="79"/>
    </row>
    <row r="97" spans="1:13" x14ac:dyDescent="0.2">
      <c r="A97" s="4">
        <f t="shared" si="0"/>
        <v>49</v>
      </c>
      <c r="B97" s="4">
        <f t="shared" si="1"/>
        <v>73</v>
      </c>
      <c r="C97" s="5">
        <f t="shared" si="11"/>
        <v>0.03</v>
      </c>
      <c r="D97" s="7">
        <f t="shared" si="17"/>
        <v>49587.022551121721</v>
      </c>
      <c r="E97" s="7">
        <f t="shared" si="12"/>
        <v>0</v>
      </c>
      <c r="F97" s="7" t="str">
        <f t="shared" si="9"/>
        <v/>
      </c>
      <c r="G97" s="7">
        <f t="shared" si="13"/>
        <v>0</v>
      </c>
      <c r="H97" s="7">
        <f t="shared" si="10"/>
        <v>0</v>
      </c>
      <c r="I97" s="7">
        <f t="shared" si="14"/>
        <v>49587.022551121721</v>
      </c>
      <c r="J97" s="8">
        <f t="shared" si="15"/>
        <v>23801.770824538427</v>
      </c>
      <c r="K97" s="8">
        <f t="shared" si="16"/>
        <v>817194.13164248713</v>
      </c>
      <c r="M97" s="79"/>
    </row>
    <row r="98" spans="1:13" x14ac:dyDescent="0.2">
      <c r="A98" s="4">
        <f t="shared" si="0"/>
        <v>50</v>
      </c>
      <c r="B98" s="4">
        <f t="shared" si="1"/>
        <v>74</v>
      </c>
      <c r="C98" s="5">
        <f t="shared" si="11"/>
        <v>0.03</v>
      </c>
      <c r="D98" s="7">
        <f t="shared" si="17"/>
        <v>51074.633227655373</v>
      </c>
      <c r="E98" s="7">
        <f t="shared" si="12"/>
        <v>0</v>
      </c>
      <c r="F98" s="7" t="str">
        <f t="shared" si="9"/>
        <v/>
      </c>
      <c r="G98" s="7">
        <f t="shared" si="13"/>
        <v>0</v>
      </c>
      <c r="H98" s="7">
        <f t="shared" si="10"/>
        <v>0</v>
      </c>
      <c r="I98" s="7">
        <f t="shared" si="14"/>
        <v>51074.633227655373</v>
      </c>
      <c r="J98" s="8">
        <f t="shared" si="15"/>
        <v>22983.584952445002</v>
      </c>
      <c r="K98" s="8">
        <f t="shared" si="16"/>
        <v>789103.0833672767</v>
      </c>
      <c r="M98" s="79"/>
    </row>
    <row r="99" spans="1:13" x14ac:dyDescent="0.2">
      <c r="A99" s="4">
        <f t="shared" si="0"/>
        <v>51</v>
      </c>
      <c r="B99" s="4">
        <f t="shared" si="1"/>
        <v>75</v>
      </c>
      <c r="C99" s="5">
        <f t="shared" si="11"/>
        <v>0.03</v>
      </c>
      <c r="D99" s="7">
        <f t="shared" si="17"/>
        <v>52606.872224485036</v>
      </c>
      <c r="E99" s="7">
        <f t="shared" si="12"/>
        <v>0</v>
      </c>
      <c r="F99" s="7" t="str">
        <f t="shared" si="9"/>
        <v/>
      </c>
      <c r="G99" s="7">
        <f t="shared" si="13"/>
        <v>0</v>
      </c>
      <c r="H99" s="7">
        <f t="shared" si="10"/>
        <v>0</v>
      </c>
      <c r="I99" s="7">
        <f t="shared" si="14"/>
        <v>52606.872224485036</v>
      </c>
      <c r="J99" s="8">
        <f t="shared" si="15"/>
        <v>22094.886334283743</v>
      </c>
      <c r="K99" s="8">
        <f t="shared" si="16"/>
        <v>758591.09747707541</v>
      </c>
      <c r="M99" s="79"/>
    </row>
    <row r="100" spans="1:13" x14ac:dyDescent="0.2">
      <c r="A100" s="4">
        <f t="shared" si="0"/>
        <v>52</v>
      </c>
      <c r="B100" s="4">
        <f t="shared" si="1"/>
        <v>76</v>
      </c>
      <c r="C100" s="5">
        <f t="shared" si="11"/>
        <v>0.03</v>
      </c>
      <c r="D100" s="7">
        <f t="shared" si="17"/>
        <v>54185.078391219591</v>
      </c>
      <c r="E100" s="7">
        <f t="shared" si="12"/>
        <v>0</v>
      </c>
      <c r="F100" s="7" t="str">
        <f t="shared" si="9"/>
        <v/>
      </c>
      <c r="G100" s="7">
        <f t="shared" si="13"/>
        <v>0</v>
      </c>
      <c r="H100" s="7">
        <f t="shared" si="10"/>
        <v>0</v>
      </c>
      <c r="I100" s="7">
        <f t="shared" si="14"/>
        <v>54185.078391219591</v>
      </c>
      <c r="J100" s="8">
        <f t="shared" si="15"/>
        <v>21132.180572575657</v>
      </c>
      <c r="K100" s="8">
        <f t="shared" si="16"/>
        <v>725538.19965843146</v>
      </c>
      <c r="M100" s="79"/>
    </row>
    <row r="101" spans="1:13" x14ac:dyDescent="0.2">
      <c r="A101" s="4">
        <f t="shared" si="0"/>
        <v>53</v>
      </c>
      <c r="B101" s="4">
        <f t="shared" si="1"/>
        <v>77</v>
      </c>
      <c r="C101" s="5">
        <f t="shared" si="11"/>
        <v>0.03</v>
      </c>
      <c r="D101" s="7">
        <f t="shared" si="17"/>
        <v>55810.630742956171</v>
      </c>
      <c r="E101" s="7">
        <f t="shared" si="12"/>
        <v>0</v>
      </c>
      <c r="F101" s="7" t="str">
        <f t="shared" si="9"/>
        <v/>
      </c>
      <c r="G101" s="7">
        <f t="shared" si="13"/>
        <v>0</v>
      </c>
      <c r="H101" s="7">
        <f t="shared" si="10"/>
        <v>0</v>
      </c>
      <c r="I101" s="7">
        <f t="shared" si="14"/>
        <v>55810.630742956171</v>
      </c>
      <c r="J101" s="8">
        <f t="shared" si="15"/>
        <v>20091.827067464241</v>
      </c>
      <c r="K101" s="8">
        <f t="shared" si="16"/>
        <v>689819.39598293952</v>
      </c>
      <c r="M101" s="79"/>
    </row>
    <row r="102" spans="1:13" x14ac:dyDescent="0.2">
      <c r="A102" s="4">
        <f t="shared" si="0"/>
        <v>54</v>
      </c>
      <c r="B102" s="4">
        <f t="shared" si="1"/>
        <v>78</v>
      </c>
      <c r="C102" s="5">
        <f t="shared" si="11"/>
        <v>0.03</v>
      </c>
      <c r="D102" s="7">
        <f t="shared" si="17"/>
        <v>57484.949665244851</v>
      </c>
      <c r="E102" s="7">
        <f t="shared" si="12"/>
        <v>0</v>
      </c>
      <c r="F102" s="7" t="str">
        <f t="shared" si="9"/>
        <v/>
      </c>
      <c r="G102" s="7">
        <f t="shared" si="13"/>
        <v>0</v>
      </c>
      <c r="H102" s="7">
        <f t="shared" si="10"/>
        <v>0</v>
      </c>
      <c r="I102" s="7">
        <f t="shared" si="14"/>
        <v>57484.949665244851</v>
      </c>
      <c r="J102" s="8">
        <f t="shared" si="15"/>
        <v>18970.033389530843</v>
      </c>
      <c r="K102" s="8">
        <f t="shared" si="16"/>
        <v>651304.47970722546</v>
      </c>
      <c r="M102" s="79"/>
    </row>
    <row r="103" spans="1:13" x14ac:dyDescent="0.2">
      <c r="A103" s="4">
        <f t="shared" ref="A103:A121" si="18">IF(A102&lt;($E$10-$E$9)+$E$11,A102+1,NA())</f>
        <v>55</v>
      </c>
      <c r="B103" s="4">
        <f t="shared" ref="B103:B123" si="19">IF(ISERROR(A103),NA(),$E$9+A103-1)</f>
        <v>79</v>
      </c>
      <c r="C103" s="5">
        <f t="shared" si="11"/>
        <v>0.03</v>
      </c>
      <c r="D103" s="7">
        <f t="shared" si="17"/>
        <v>59209.4981552022</v>
      </c>
      <c r="E103" s="7">
        <f t="shared" si="12"/>
        <v>0</v>
      </c>
      <c r="F103" s="7" t="str">
        <f t="shared" si="9"/>
        <v/>
      </c>
      <c r="G103" s="7">
        <f t="shared" si="13"/>
        <v>0</v>
      </c>
      <c r="H103" s="7">
        <f t="shared" si="10"/>
        <v>0</v>
      </c>
      <c r="I103" s="7">
        <f t="shared" si="14"/>
        <v>59209.4981552022</v>
      </c>
      <c r="J103" s="8">
        <f t="shared" si="15"/>
        <v>17762.849446560722</v>
      </c>
      <c r="K103" s="8">
        <f t="shared" si="16"/>
        <v>609857.83099858393</v>
      </c>
      <c r="M103" s="79"/>
    </row>
    <row r="104" spans="1:13" x14ac:dyDescent="0.2">
      <c r="A104" s="4">
        <f t="shared" si="18"/>
        <v>56</v>
      </c>
      <c r="B104" s="4">
        <f t="shared" si="19"/>
        <v>80</v>
      </c>
      <c r="C104" s="5">
        <f t="shared" si="11"/>
        <v>0.03</v>
      </c>
      <c r="D104" s="7">
        <f t="shared" si="17"/>
        <v>60985.783099858272</v>
      </c>
      <c r="E104" s="7">
        <f t="shared" si="12"/>
        <v>0</v>
      </c>
      <c r="F104" s="7" t="str">
        <f t="shared" si="9"/>
        <v/>
      </c>
      <c r="G104" s="7">
        <f t="shared" si="13"/>
        <v>0</v>
      </c>
      <c r="H104" s="7">
        <f t="shared" si="10"/>
        <v>0</v>
      </c>
      <c r="I104" s="7">
        <f t="shared" si="14"/>
        <v>60985.783099858272</v>
      </c>
      <c r="J104" s="8">
        <f t="shared" si="15"/>
        <v>16466.161436961731</v>
      </c>
      <c r="K104" s="8">
        <f t="shared" si="16"/>
        <v>565338.20933568734</v>
      </c>
      <c r="M104" s="79"/>
    </row>
    <row r="105" spans="1:13" x14ac:dyDescent="0.2">
      <c r="A105" s="4">
        <f t="shared" si="18"/>
        <v>57</v>
      </c>
      <c r="B105" s="4">
        <f t="shared" si="19"/>
        <v>81</v>
      </c>
      <c r="C105" s="5">
        <f t="shared" si="11"/>
        <v>0.03</v>
      </c>
      <c r="D105" s="7">
        <f t="shared" si="17"/>
        <v>62815.356592854012</v>
      </c>
      <c r="E105" s="7">
        <f t="shared" si="12"/>
        <v>0</v>
      </c>
      <c r="F105" s="7" t="str">
        <f t="shared" si="9"/>
        <v/>
      </c>
      <c r="G105" s="7">
        <f t="shared" si="13"/>
        <v>0</v>
      </c>
      <c r="H105" s="7">
        <f t="shared" si="10"/>
        <v>0</v>
      </c>
      <c r="I105" s="7">
        <f t="shared" si="14"/>
        <v>62815.356592854012</v>
      </c>
      <c r="J105" s="8">
        <f t="shared" si="15"/>
        <v>15075.68558228499</v>
      </c>
      <c r="K105" s="8">
        <f t="shared" si="16"/>
        <v>517598.53832511837</v>
      </c>
      <c r="M105" s="79"/>
    </row>
    <row r="106" spans="1:13" x14ac:dyDescent="0.2">
      <c r="A106" s="4">
        <f t="shared" si="18"/>
        <v>58</v>
      </c>
      <c r="B106" s="4">
        <f t="shared" si="19"/>
        <v>82</v>
      </c>
      <c r="C106" s="5">
        <f t="shared" si="11"/>
        <v>0.03</v>
      </c>
      <c r="D106" s="7">
        <f t="shared" si="17"/>
        <v>64699.817290639628</v>
      </c>
      <c r="E106" s="7">
        <f t="shared" si="12"/>
        <v>0</v>
      </c>
      <c r="F106" s="7" t="str">
        <f t="shared" si="9"/>
        <v/>
      </c>
      <c r="G106" s="7">
        <f t="shared" si="13"/>
        <v>0</v>
      </c>
      <c r="H106" s="7">
        <f t="shared" si="10"/>
        <v>0</v>
      </c>
      <c r="I106" s="7">
        <f t="shared" si="14"/>
        <v>64699.817290639628</v>
      </c>
      <c r="J106" s="8">
        <f t="shared" si="15"/>
        <v>13586.961631034384</v>
      </c>
      <c r="K106" s="8">
        <f t="shared" si="16"/>
        <v>466485.68266551313</v>
      </c>
      <c r="M106" s="79"/>
    </row>
    <row r="107" spans="1:13" x14ac:dyDescent="0.2">
      <c r="A107" s="4">
        <f t="shared" si="18"/>
        <v>59</v>
      </c>
      <c r="B107" s="4">
        <f t="shared" si="19"/>
        <v>83</v>
      </c>
      <c r="C107" s="5">
        <f t="shared" si="11"/>
        <v>0.03</v>
      </c>
      <c r="D107" s="7">
        <f t="shared" si="17"/>
        <v>66640.811809358827</v>
      </c>
      <c r="E107" s="7">
        <f t="shared" si="12"/>
        <v>0</v>
      </c>
      <c r="F107" s="7" t="str">
        <f t="shared" si="9"/>
        <v/>
      </c>
      <c r="G107" s="7">
        <f t="shared" si="13"/>
        <v>0</v>
      </c>
      <c r="H107" s="7">
        <f t="shared" si="10"/>
        <v>0</v>
      </c>
      <c r="I107" s="7">
        <f t="shared" si="14"/>
        <v>66640.811809358827</v>
      </c>
      <c r="J107" s="8">
        <f t="shared" si="15"/>
        <v>11995.34612568462</v>
      </c>
      <c r="K107" s="8">
        <f t="shared" si="16"/>
        <v>411840.21698183892</v>
      </c>
      <c r="M107" s="79"/>
    </row>
    <row r="108" spans="1:13" x14ac:dyDescent="0.2">
      <c r="A108" s="4">
        <f t="shared" si="18"/>
        <v>60</v>
      </c>
      <c r="B108" s="4">
        <f t="shared" si="19"/>
        <v>84</v>
      </c>
      <c r="C108" s="5">
        <f t="shared" si="11"/>
        <v>0.03</v>
      </c>
      <c r="D108" s="7">
        <f t="shared" si="17"/>
        <v>68640.036163639583</v>
      </c>
      <c r="E108" s="7">
        <f t="shared" si="12"/>
        <v>0</v>
      </c>
      <c r="F108" s="7" t="str">
        <f t="shared" si="9"/>
        <v/>
      </c>
      <c r="G108" s="7">
        <f t="shared" si="13"/>
        <v>0</v>
      </c>
      <c r="H108" s="7">
        <f t="shared" si="10"/>
        <v>0</v>
      </c>
      <c r="I108" s="7">
        <f t="shared" si="14"/>
        <v>68640.036163639583</v>
      </c>
      <c r="J108" s="8">
        <f t="shared" si="15"/>
        <v>10296.005424545961</v>
      </c>
      <c r="K108" s="8">
        <f t="shared" si="16"/>
        <v>353496.18624274532</v>
      </c>
      <c r="M108" s="79"/>
    </row>
    <row r="109" spans="1:13" x14ac:dyDescent="0.2">
      <c r="A109" s="4">
        <f t="shared" si="18"/>
        <v>61</v>
      </c>
      <c r="B109" s="4">
        <f t="shared" si="19"/>
        <v>85</v>
      </c>
      <c r="C109" s="5">
        <f t="shared" si="11"/>
        <v>0.03</v>
      </c>
      <c r="D109" s="7">
        <f t="shared" si="17"/>
        <v>70699.237248548772</v>
      </c>
      <c r="E109" s="7">
        <f t="shared" si="12"/>
        <v>0</v>
      </c>
      <c r="F109" s="7" t="str">
        <f t="shared" si="9"/>
        <v/>
      </c>
      <c r="G109" s="7">
        <f t="shared" si="13"/>
        <v>0</v>
      </c>
      <c r="H109" s="7">
        <f t="shared" si="10"/>
        <v>0</v>
      </c>
      <c r="I109" s="7">
        <f t="shared" si="14"/>
        <v>70699.237248548772</v>
      </c>
      <c r="J109" s="8">
        <f t="shared" si="15"/>
        <v>8483.9084698259248</v>
      </c>
      <c r="K109" s="8">
        <f t="shared" si="16"/>
        <v>291280.85746402247</v>
      </c>
      <c r="M109" s="79"/>
    </row>
    <row r="110" spans="1:13" x14ac:dyDescent="0.2">
      <c r="A110" s="4">
        <f t="shared" si="18"/>
        <v>62</v>
      </c>
      <c r="B110" s="4">
        <f t="shared" si="19"/>
        <v>86</v>
      </c>
      <c r="C110" s="5">
        <f t="shared" si="11"/>
        <v>0.03</v>
      </c>
      <c r="D110" s="7">
        <f t="shared" si="17"/>
        <v>72820.214366005224</v>
      </c>
      <c r="E110" s="7">
        <f t="shared" si="12"/>
        <v>0</v>
      </c>
      <c r="F110" s="7" t="str">
        <f t="shared" si="9"/>
        <v/>
      </c>
      <c r="G110" s="7">
        <f t="shared" si="13"/>
        <v>0</v>
      </c>
      <c r="H110" s="7">
        <f t="shared" si="10"/>
        <v>0</v>
      </c>
      <c r="I110" s="7">
        <f t="shared" si="14"/>
        <v>72820.214366005224</v>
      </c>
      <c r="J110" s="8">
        <f t="shared" si="15"/>
        <v>6553.8192929405195</v>
      </c>
      <c r="K110" s="8">
        <f t="shared" si="16"/>
        <v>225014.46239095781</v>
      </c>
      <c r="M110" s="79"/>
    </row>
    <row r="111" spans="1:13" x14ac:dyDescent="0.2">
      <c r="A111" s="4">
        <f t="shared" si="18"/>
        <v>63</v>
      </c>
      <c r="B111" s="4">
        <f t="shared" si="19"/>
        <v>87</v>
      </c>
      <c r="C111" s="5">
        <f t="shared" si="11"/>
        <v>0.03</v>
      </c>
      <c r="D111" s="7">
        <f t="shared" si="17"/>
        <v>75004.820796985383</v>
      </c>
      <c r="E111" s="7">
        <f t="shared" si="12"/>
        <v>0</v>
      </c>
      <c r="F111" s="7" t="str">
        <f t="shared" si="9"/>
        <v/>
      </c>
      <c r="G111" s="7">
        <f t="shared" si="13"/>
        <v>0</v>
      </c>
      <c r="H111" s="7">
        <f t="shared" si="10"/>
        <v>0</v>
      </c>
      <c r="I111" s="7">
        <f t="shared" si="14"/>
        <v>75004.820796985383</v>
      </c>
      <c r="J111" s="8">
        <f t="shared" si="15"/>
        <v>4500.2892478191643</v>
      </c>
      <c r="K111" s="8">
        <f t="shared" si="16"/>
        <v>154509.93084179159</v>
      </c>
      <c r="M111" s="79"/>
    </row>
    <row r="112" spans="1:13" x14ac:dyDescent="0.2">
      <c r="A112" s="4">
        <f t="shared" si="18"/>
        <v>64</v>
      </c>
      <c r="B112" s="4">
        <f t="shared" si="19"/>
        <v>88</v>
      </c>
      <c r="C112" s="5">
        <f t="shared" si="11"/>
        <v>0.03</v>
      </c>
      <c r="D112" s="7">
        <f t="shared" si="17"/>
        <v>77254.965420894951</v>
      </c>
      <c r="E112" s="7">
        <f t="shared" si="12"/>
        <v>0</v>
      </c>
      <c r="F112" s="7" t="str">
        <f t="shared" si="9"/>
        <v/>
      </c>
      <c r="G112" s="7">
        <f t="shared" si="13"/>
        <v>0</v>
      </c>
      <c r="H112" s="7">
        <f t="shared" si="10"/>
        <v>0</v>
      </c>
      <c r="I112" s="7">
        <f t="shared" si="14"/>
        <v>77254.965420894951</v>
      </c>
      <c r="J112" s="8">
        <f t="shared" si="15"/>
        <v>2317.6489626269031</v>
      </c>
      <c r="K112" s="8">
        <f t="shared" si="16"/>
        <v>79572.614383523542</v>
      </c>
      <c r="M112" s="79"/>
    </row>
    <row r="113" spans="1:13" x14ac:dyDescent="0.2">
      <c r="A113" s="4">
        <f t="shared" si="18"/>
        <v>65</v>
      </c>
      <c r="B113" s="4">
        <f t="shared" si="19"/>
        <v>89</v>
      </c>
      <c r="C113" s="5">
        <f t="shared" ref="C113:C123" si="20">IF(ISERROR(A113),NA(),IF(B113&lt;$E$10,$E$15,$E$16))</f>
        <v>0.03</v>
      </c>
      <c r="D113" s="7">
        <f t="shared" si="17"/>
        <v>79572.614383521795</v>
      </c>
      <c r="E113" s="7">
        <f t="shared" ref="E113:E123" si="21">IF(ISERROR(A113),NA(),IF(B113=$E$10-1,$K$26,0)+IF(A113&lt;=$E$12,$K$31*D113,0))</f>
        <v>0</v>
      </c>
      <c r="F113" s="7" t="str">
        <f t="shared" si="9"/>
        <v/>
      </c>
      <c r="G113" s="7">
        <f t="shared" ref="G113:G123" si="22">IF(ISERROR(A113),NA(),IF(A113&lt;=$E$12,MIN($E$25*E113,$E$26*$E$25*D113),0))</f>
        <v>0</v>
      </c>
      <c r="H113" s="7">
        <f t="shared" si="10"/>
        <v>0</v>
      </c>
      <c r="I113" s="7">
        <f t="shared" ref="I113:I123" si="23">IF(ISERROR(A113),NA(),IF(B113&gt;=$E$10,D113-H113,0))</f>
        <v>79572.614383521795</v>
      </c>
      <c r="J113" s="8">
        <f t="shared" ref="J113:J123" si="24">IF(ISERROR(A113),NA(),FV(C113/$E$43,$E$43,-(E113+G113)/$E$43,-(K112-I113*$E$44),0)-(K112+E113+G113-I113*$E$44))</f>
        <v>5.2386894822120791E-11</v>
      </c>
      <c r="K113" s="8">
        <f t="shared" ref="K113:K123" si="25">IF(ISERROR(A113),NA(),K112+E113+G113+J113-I113)</f>
        <v>1.8044374883174896E-9</v>
      </c>
      <c r="M113" s="79"/>
    </row>
    <row r="114" spans="1:13" x14ac:dyDescent="0.2">
      <c r="A114" s="4" t="e">
        <f t="shared" si="18"/>
        <v>#N/A</v>
      </c>
      <c r="B114" s="4" t="e">
        <f t="shared" si="19"/>
        <v>#N/A</v>
      </c>
      <c r="C114" s="5" t="e">
        <f t="shared" si="20"/>
        <v>#N/A</v>
      </c>
      <c r="D114" s="7" t="e">
        <f t="shared" ref="D114:D123" si="26">IF(ISERROR(A114),NA(),IF(B114&gt;=$E$10,$K$10*(1+$E$17)^(B114-$E$10),(1+$E$21)*D113))</f>
        <v>#N/A</v>
      </c>
      <c r="E114" s="7" t="e">
        <f t="shared" si="21"/>
        <v>#N/A</v>
      </c>
      <c r="F114" s="7" t="e">
        <f t="shared" ref="F114:F123" si="27">IF(ISERROR(A114),NA(),"")</f>
        <v>#N/A</v>
      </c>
      <c r="G114" s="7" t="e">
        <f t="shared" si="22"/>
        <v>#N/A</v>
      </c>
      <c r="H114" s="7" t="e">
        <f t="shared" ref="H114:H123" si="28">IF(ISERROR(A114),NA(),IF(ISERROR(B114),0,IF(AND(B114&gt;=$K$19,B114&lt;($K$19+$K$22)),$K$20*(1+$K$21)^(B114-$K$19),0)))</f>
        <v>#N/A</v>
      </c>
      <c r="I114" s="7" t="e">
        <f t="shared" si="23"/>
        <v>#N/A</v>
      </c>
      <c r="J114" s="8" t="e">
        <f t="shared" si="24"/>
        <v>#N/A</v>
      </c>
      <c r="K114" s="8" t="e">
        <f t="shared" si="25"/>
        <v>#N/A</v>
      </c>
      <c r="M114" s="79"/>
    </row>
    <row r="115" spans="1:13" x14ac:dyDescent="0.2">
      <c r="A115" s="4" t="e">
        <f t="shared" si="18"/>
        <v>#N/A</v>
      </c>
      <c r="B115" s="4" t="e">
        <f t="shared" si="19"/>
        <v>#N/A</v>
      </c>
      <c r="C115" s="5" t="e">
        <f t="shared" si="20"/>
        <v>#N/A</v>
      </c>
      <c r="D115" s="7" t="e">
        <f t="shared" si="26"/>
        <v>#N/A</v>
      </c>
      <c r="E115" s="7" t="e">
        <f t="shared" si="21"/>
        <v>#N/A</v>
      </c>
      <c r="F115" s="7" t="e">
        <f t="shared" si="27"/>
        <v>#N/A</v>
      </c>
      <c r="G115" s="7" t="e">
        <f t="shared" si="22"/>
        <v>#N/A</v>
      </c>
      <c r="H115" s="7" t="e">
        <f t="shared" si="28"/>
        <v>#N/A</v>
      </c>
      <c r="I115" s="7" t="e">
        <f t="shared" si="23"/>
        <v>#N/A</v>
      </c>
      <c r="J115" s="8" t="e">
        <f t="shared" si="24"/>
        <v>#N/A</v>
      </c>
      <c r="K115" s="8" t="e">
        <f t="shared" si="25"/>
        <v>#N/A</v>
      </c>
      <c r="M115" s="79"/>
    </row>
    <row r="116" spans="1:13" x14ac:dyDescent="0.2">
      <c r="A116" s="4" t="e">
        <f t="shared" si="18"/>
        <v>#N/A</v>
      </c>
      <c r="B116" s="4" t="e">
        <f t="shared" si="19"/>
        <v>#N/A</v>
      </c>
      <c r="C116" s="5" t="e">
        <f t="shared" si="20"/>
        <v>#N/A</v>
      </c>
      <c r="D116" s="7" t="e">
        <f t="shared" si="26"/>
        <v>#N/A</v>
      </c>
      <c r="E116" s="7" t="e">
        <f t="shared" si="21"/>
        <v>#N/A</v>
      </c>
      <c r="F116" s="7" t="e">
        <f t="shared" si="27"/>
        <v>#N/A</v>
      </c>
      <c r="G116" s="7" t="e">
        <f t="shared" si="22"/>
        <v>#N/A</v>
      </c>
      <c r="H116" s="7" t="e">
        <f t="shared" si="28"/>
        <v>#N/A</v>
      </c>
      <c r="I116" s="7" t="e">
        <f t="shared" si="23"/>
        <v>#N/A</v>
      </c>
      <c r="J116" s="8" t="e">
        <f t="shared" si="24"/>
        <v>#N/A</v>
      </c>
      <c r="K116" s="8" t="e">
        <f t="shared" si="25"/>
        <v>#N/A</v>
      </c>
    </row>
    <row r="117" spans="1:13" x14ac:dyDescent="0.2">
      <c r="A117" s="4" t="e">
        <f t="shared" si="18"/>
        <v>#N/A</v>
      </c>
      <c r="B117" s="4" t="e">
        <f t="shared" si="19"/>
        <v>#N/A</v>
      </c>
      <c r="C117" s="5" t="e">
        <f t="shared" si="20"/>
        <v>#N/A</v>
      </c>
      <c r="D117" s="7" t="e">
        <f t="shared" si="26"/>
        <v>#N/A</v>
      </c>
      <c r="E117" s="7" t="e">
        <f t="shared" si="21"/>
        <v>#N/A</v>
      </c>
      <c r="F117" s="7" t="e">
        <f t="shared" si="27"/>
        <v>#N/A</v>
      </c>
      <c r="G117" s="7" t="e">
        <f t="shared" si="22"/>
        <v>#N/A</v>
      </c>
      <c r="H117" s="7" t="e">
        <f t="shared" si="28"/>
        <v>#N/A</v>
      </c>
      <c r="I117" s="7" t="e">
        <f t="shared" si="23"/>
        <v>#N/A</v>
      </c>
      <c r="J117" s="8" t="e">
        <f t="shared" si="24"/>
        <v>#N/A</v>
      </c>
      <c r="K117" s="8" t="e">
        <f t="shared" si="25"/>
        <v>#N/A</v>
      </c>
    </row>
    <row r="118" spans="1:13" x14ac:dyDescent="0.2">
      <c r="A118" s="4" t="e">
        <f t="shared" si="18"/>
        <v>#N/A</v>
      </c>
      <c r="B118" s="4" t="e">
        <f t="shared" si="19"/>
        <v>#N/A</v>
      </c>
      <c r="C118" s="5" t="e">
        <f t="shared" si="20"/>
        <v>#N/A</v>
      </c>
      <c r="D118" s="7" t="e">
        <f t="shared" si="26"/>
        <v>#N/A</v>
      </c>
      <c r="E118" s="7" t="e">
        <f t="shared" si="21"/>
        <v>#N/A</v>
      </c>
      <c r="F118" s="7" t="e">
        <f t="shared" si="27"/>
        <v>#N/A</v>
      </c>
      <c r="G118" s="7" t="e">
        <f t="shared" si="22"/>
        <v>#N/A</v>
      </c>
      <c r="H118" s="7" t="e">
        <f t="shared" si="28"/>
        <v>#N/A</v>
      </c>
      <c r="I118" s="7" t="e">
        <f t="shared" si="23"/>
        <v>#N/A</v>
      </c>
      <c r="J118" s="8" t="e">
        <f t="shared" si="24"/>
        <v>#N/A</v>
      </c>
      <c r="K118" s="8" t="e">
        <f t="shared" si="25"/>
        <v>#N/A</v>
      </c>
    </row>
    <row r="119" spans="1:13" x14ac:dyDescent="0.2">
      <c r="A119" s="4" t="e">
        <f t="shared" si="18"/>
        <v>#N/A</v>
      </c>
      <c r="B119" s="4" t="e">
        <f t="shared" si="19"/>
        <v>#N/A</v>
      </c>
      <c r="C119" s="5" t="e">
        <f t="shared" si="20"/>
        <v>#N/A</v>
      </c>
      <c r="D119" s="7" t="e">
        <f t="shared" si="26"/>
        <v>#N/A</v>
      </c>
      <c r="E119" s="7" t="e">
        <f t="shared" si="21"/>
        <v>#N/A</v>
      </c>
      <c r="F119" s="7" t="e">
        <f t="shared" si="27"/>
        <v>#N/A</v>
      </c>
      <c r="G119" s="7" t="e">
        <f t="shared" si="22"/>
        <v>#N/A</v>
      </c>
      <c r="H119" s="7" t="e">
        <f t="shared" si="28"/>
        <v>#N/A</v>
      </c>
      <c r="I119" s="7" t="e">
        <f t="shared" si="23"/>
        <v>#N/A</v>
      </c>
      <c r="J119" s="8" t="e">
        <f t="shared" si="24"/>
        <v>#N/A</v>
      </c>
      <c r="K119" s="8" t="e">
        <f t="shared" si="25"/>
        <v>#N/A</v>
      </c>
    </row>
    <row r="120" spans="1:13" x14ac:dyDescent="0.2">
      <c r="A120" s="4" t="e">
        <f t="shared" si="18"/>
        <v>#N/A</v>
      </c>
      <c r="B120" s="4" t="e">
        <f t="shared" si="19"/>
        <v>#N/A</v>
      </c>
      <c r="C120" s="5" t="e">
        <f t="shared" si="20"/>
        <v>#N/A</v>
      </c>
      <c r="D120" s="7" t="e">
        <f t="shared" si="26"/>
        <v>#N/A</v>
      </c>
      <c r="E120" s="7" t="e">
        <f t="shared" si="21"/>
        <v>#N/A</v>
      </c>
      <c r="F120" s="7" t="e">
        <f t="shared" si="27"/>
        <v>#N/A</v>
      </c>
      <c r="G120" s="7" t="e">
        <f t="shared" si="22"/>
        <v>#N/A</v>
      </c>
      <c r="H120" s="7" t="e">
        <f t="shared" si="28"/>
        <v>#N/A</v>
      </c>
      <c r="I120" s="7" t="e">
        <f t="shared" si="23"/>
        <v>#N/A</v>
      </c>
      <c r="J120" s="8" t="e">
        <f t="shared" si="24"/>
        <v>#N/A</v>
      </c>
      <c r="K120" s="8" t="e">
        <f t="shared" si="25"/>
        <v>#N/A</v>
      </c>
    </row>
    <row r="121" spans="1:13" x14ac:dyDescent="0.2">
      <c r="A121" s="4" t="e">
        <f t="shared" si="18"/>
        <v>#N/A</v>
      </c>
      <c r="B121" s="4" t="e">
        <f t="shared" si="19"/>
        <v>#N/A</v>
      </c>
      <c r="C121" s="5" t="e">
        <f t="shared" si="20"/>
        <v>#N/A</v>
      </c>
      <c r="D121" s="7" t="e">
        <f t="shared" si="26"/>
        <v>#N/A</v>
      </c>
      <c r="E121" s="7" t="e">
        <f t="shared" si="21"/>
        <v>#N/A</v>
      </c>
      <c r="F121" s="7" t="e">
        <f t="shared" si="27"/>
        <v>#N/A</v>
      </c>
      <c r="G121" s="7" t="e">
        <f t="shared" si="22"/>
        <v>#N/A</v>
      </c>
      <c r="H121" s="7" t="e">
        <f t="shared" si="28"/>
        <v>#N/A</v>
      </c>
      <c r="I121" s="7" t="e">
        <f t="shared" si="23"/>
        <v>#N/A</v>
      </c>
      <c r="J121" s="8" t="e">
        <f t="shared" si="24"/>
        <v>#N/A</v>
      </c>
      <c r="K121" s="8" t="e">
        <f t="shared" si="25"/>
        <v>#N/A</v>
      </c>
    </row>
    <row r="122" spans="1:13" x14ac:dyDescent="0.2">
      <c r="A122" s="4" t="e">
        <f t="shared" ref="A122" si="29">IF(A121&lt;($E$10-$E$9)+$E$11,A121+1,NA())</f>
        <v>#N/A</v>
      </c>
      <c r="B122" s="4" t="e">
        <f t="shared" ref="B122" si="30">IF(ISERROR(A122),NA(),$E$9+A122-1)</f>
        <v>#N/A</v>
      </c>
      <c r="C122" s="5" t="e">
        <f t="shared" si="20"/>
        <v>#N/A</v>
      </c>
      <c r="D122" s="7" t="e">
        <f t="shared" si="26"/>
        <v>#N/A</v>
      </c>
      <c r="E122" s="7" t="e">
        <f t="shared" si="21"/>
        <v>#N/A</v>
      </c>
      <c r="F122" s="7" t="e">
        <f t="shared" si="27"/>
        <v>#N/A</v>
      </c>
      <c r="G122" s="7" t="e">
        <f t="shared" si="22"/>
        <v>#N/A</v>
      </c>
      <c r="H122" s="7" t="e">
        <f t="shared" si="28"/>
        <v>#N/A</v>
      </c>
      <c r="I122" s="7" t="e">
        <f t="shared" si="23"/>
        <v>#N/A</v>
      </c>
      <c r="J122" s="8" t="e">
        <f t="shared" si="24"/>
        <v>#N/A</v>
      </c>
      <c r="K122" s="8" t="e">
        <f t="shared" si="25"/>
        <v>#N/A</v>
      </c>
    </row>
    <row r="123" spans="1:13" x14ac:dyDescent="0.2">
      <c r="A123" s="4" t="e">
        <f>IF(A121&lt;($E$10-$E$9)+$E$11,A121+1,NA())</f>
        <v>#N/A</v>
      </c>
      <c r="B123" s="4" t="e">
        <f t="shared" si="19"/>
        <v>#N/A</v>
      </c>
      <c r="C123" s="5" t="e">
        <f t="shared" si="20"/>
        <v>#N/A</v>
      </c>
      <c r="D123" s="7" t="e">
        <f t="shared" si="26"/>
        <v>#N/A</v>
      </c>
      <c r="E123" s="7" t="e">
        <f t="shared" si="21"/>
        <v>#N/A</v>
      </c>
      <c r="F123" s="7" t="e">
        <f t="shared" si="27"/>
        <v>#N/A</v>
      </c>
      <c r="G123" s="7" t="e">
        <f t="shared" si="22"/>
        <v>#N/A</v>
      </c>
      <c r="H123" s="7" t="e">
        <f t="shared" si="28"/>
        <v>#N/A</v>
      </c>
      <c r="I123" s="7" t="e">
        <f t="shared" si="23"/>
        <v>#N/A</v>
      </c>
      <c r="J123" s="8" t="e">
        <f t="shared" si="24"/>
        <v>#N/A</v>
      </c>
      <c r="K123" s="8" t="e">
        <f t="shared" si="25"/>
        <v>#N/A</v>
      </c>
    </row>
    <row r="124" spans="1:13" x14ac:dyDescent="0.2">
      <c r="A124" s="69"/>
      <c r="B124" s="69"/>
      <c r="C124" s="69"/>
      <c r="D124" s="69"/>
      <c r="E124" s="69"/>
      <c r="F124" s="69"/>
      <c r="G124" s="69"/>
      <c r="H124" s="69"/>
      <c r="I124" s="69"/>
      <c r="J124" s="69"/>
      <c r="K124" s="69"/>
    </row>
    <row r="127" spans="1:13" x14ac:dyDescent="0.2">
      <c r="A127" s="3" t="str">
        <f>"Table Based on "&amp;TEXT(E24,"0.00%")&amp;" Salary Contribution Scenario"</f>
        <v>Table Based on 5.00% Salary Contribution Scenario</v>
      </c>
      <c r="J127" s="1"/>
      <c r="K127" s="76" t="s">
        <v>38</v>
      </c>
    </row>
    <row r="128" spans="1:13" ht="26.25" thickBot="1" x14ac:dyDescent="0.25">
      <c r="A128" s="15" t="s">
        <v>3</v>
      </c>
      <c r="B128" s="15" t="s">
        <v>4</v>
      </c>
      <c r="C128" s="15" t="s">
        <v>9</v>
      </c>
      <c r="D128" s="15" t="s">
        <v>28</v>
      </c>
      <c r="E128" s="15" t="s">
        <v>7</v>
      </c>
      <c r="F128" s="15"/>
      <c r="G128" s="15" t="s">
        <v>35</v>
      </c>
      <c r="H128" s="78" t="s">
        <v>45</v>
      </c>
      <c r="I128" s="68" t="s">
        <v>26</v>
      </c>
      <c r="J128" s="15" t="s">
        <v>31</v>
      </c>
      <c r="K128" s="16" t="s">
        <v>0</v>
      </c>
    </row>
    <row r="129" spans="1:11" x14ac:dyDescent="0.2">
      <c r="A129" s="12"/>
      <c r="B129" s="12"/>
      <c r="C129" s="12"/>
      <c r="D129" s="13"/>
      <c r="E129" s="13"/>
      <c r="F129" s="13"/>
      <c r="G129" s="13"/>
      <c r="H129" s="13"/>
      <c r="I129" s="12"/>
      <c r="J129" s="12"/>
      <c r="K129" s="14">
        <f>Retirement!$K$14</f>
        <v>0</v>
      </c>
    </row>
    <row r="130" spans="1:11" x14ac:dyDescent="0.2">
      <c r="A130" s="4">
        <f>IF(OR(K129&lt;0,A129&gt;=($E$10-$E$9)+$E$11),NA(),A129+1)</f>
        <v>1</v>
      </c>
      <c r="B130" s="4">
        <f>IF(ISERROR(A130),NA(),$E$9+A130-1)</f>
        <v>25</v>
      </c>
      <c r="C130" s="5">
        <f>IF(ISERROR(A130),NA(),IF(B130&lt;$E$10,$E$15,$E$16))</f>
        <v>0.08</v>
      </c>
      <c r="D130" s="6">
        <f>Retirement!E20</f>
        <v>40000</v>
      </c>
      <c r="E130" s="7">
        <f>IF(ISERROR(A130),NA(),IF(B130=$E$10-1,$K$26)+IF(A130&lt;=$E$12,$E$24*D130,0))</f>
        <v>2000</v>
      </c>
      <c r="F130" s="7" t="str">
        <f t="shared" ref="F130:F161" si="31">IF(ISERROR(A130),NA(),"")</f>
        <v/>
      </c>
      <c r="G130" s="7">
        <f>IF(ISERROR(A130),NA(),IF(A130&lt;=$E$12,MIN($E$25*E130,$E$26*$E$25*D130),0))</f>
        <v>1000</v>
      </c>
      <c r="H130" s="7">
        <f>IF(ISERROR(A130),NA(),IF(ISERROR(B130),0,IF(AND(B130&gt;=$K$19,B130&lt;($K$19+$K$22)),$K$20*(1+$K$21)^(B130-$K$19),0)))</f>
        <v>0</v>
      </c>
      <c r="I130" s="7">
        <f>IF(ISERROR(A130),NA(),IF(B130&gt;=$E$10,D130-H130,0))</f>
        <v>0</v>
      </c>
      <c r="J130" s="8">
        <f>IF(ISERROR(A130),NA(),FV(C130/$E$43,$E$43,-(E130+G130)/$E$43,-(K129-I130*$E$44),0)-(K129+E130+G130-I130*$E$44))</f>
        <v>2.7284841053187847E-12</v>
      </c>
      <c r="K130" s="8">
        <f t="shared" ref="K130:K161" si="32">IF(ISERROR(A130),NA(),K129+E130+G130+J130-I130)</f>
        <v>3000.0000000000027</v>
      </c>
    </row>
    <row r="131" spans="1:11" x14ac:dyDescent="0.2">
      <c r="A131" s="4">
        <f t="shared" ref="A131:A194" si="33">IF(OR(K130&lt;0,A130&gt;=($E$10-$E$9)+$E$11),NA(),A130+1)</f>
        <v>2</v>
      </c>
      <c r="B131" s="4">
        <f t="shared" ref="B131:B194" si="34">IF(ISERROR(A131),NA(),$E$9+A131-1)</f>
        <v>26</v>
      </c>
      <c r="C131" s="5">
        <f t="shared" ref="C131:C194" si="35">IF(ISERROR(A131),NA(),IF(B131&lt;$E$10,$E$15,$E$16))</f>
        <v>0.08</v>
      </c>
      <c r="D131" s="7">
        <f>IF(ISERROR(A131),NA(),IF(B131&gt;=$E$10,$K$10*(1+$E$17)^(B131-$E$10),(1+$E$21)*D130))</f>
        <v>40800</v>
      </c>
      <c r="E131" s="7">
        <f t="shared" ref="E131:E194" si="36">IF(ISERROR(A131),NA(),IF(B131=$E$10-1,$K$26)+IF(A131&lt;=$E$12,$E$24*D131,0))</f>
        <v>2040</v>
      </c>
      <c r="F131" s="7" t="str">
        <f t="shared" si="31"/>
        <v/>
      </c>
      <c r="G131" s="7">
        <f t="shared" ref="G131:G194" si="37">IF(ISERROR(A131),NA(),IF(A131&lt;=$E$12,MIN($E$25*E131,$E$26*$E$25*D131),0))</f>
        <v>1020</v>
      </c>
      <c r="H131" s="7">
        <f t="shared" ref="H131:H194" si="38">IF(ISERROR(A131),NA(),IF(ISERROR(B131),0,IF(AND(B131&gt;=$K$19,B131&lt;($K$19+$K$22)),$K$20*(1+$K$21)^(B131-$K$19),0)))</f>
        <v>0</v>
      </c>
      <c r="I131" s="7">
        <f t="shared" ref="I131:I194" si="39">IF(ISERROR(A131),NA(),IF(B131&gt;=$E$10,D131-H131,0))</f>
        <v>0</v>
      </c>
      <c r="J131" s="8">
        <f t="shared" ref="J131:J194" si="40">IF(ISERROR(A131),NA(),FV(C131/$E$43,$E$43,-(E131+G131)/$E$43,-(K130-I131*$E$44),0)-(K130+E131+G131-I131*$E$44))</f>
        <v>240.00000000000273</v>
      </c>
      <c r="K131" s="8">
        <f t="shared" si="32"/>
        <v>6300.0000000000055</v>
      </c>
    </row>
    <row r="132" spans="1:11" x14ac:dyDescent="0.2">
      <c r="A132" s="4">
        <f t="shared" si="33"/>
        <v>3</v>
      </c>
      <c r="B132" s="4">
        <f t="shared" si="34"/>
        <v>27</v>
      </c>
      <c r="C132" s="5">
        <f t="shared" si="35"/>
        <v>0.08</v>
      </c>
      <c r="D132" s="7">
        <f t="shared" ref="D132:D195" si="41">IF(ISERROR(A132),NA(),IF(B132&gt;=$E$10,$K$10*(1+$E$17)^(B132-$E$10),(1+$E$21)*D131))</f>
        <v>41616</v>
      </c>
      <c r="E132" s="7">
        <f t="shared" si="36"/>
        <v>2080.8000000000002</v>
      </c>
      <c r="F132" s="7" t="str">
        <f t="shared" si="31"/>
        <v/>
      </c>
      <c r="G132" s="7">
        <f t="shared" si="37"/>
        <v>1040.4000000000001</v>
      </c>
      <c r="H132" s="7">
        <f t="shared" si="38"/>
        <v>0</v>
      </c>
      <c r="I132" s="7">
        <f t="shared" si="39"/>
        <v>0</v>
      </c>
      <c r="J132" s="8">
        <f t="shared" si="40"/>
        <v>504.00000000000364</v>
      </c>
      <c r="K132" s="8">
        <f t="shared" si="32"/>
        <v>9925.2000000000098</v>
      </c>
    </row>
    <row r="133" spans="1:11" x14ac:dyDescent="0.2">
      <c r="A133" s="4">
        <f t="shared" si="33"/>
        <v>4</v>
      </c>
      <c r="B133" s="4">
        <f t="shared" si="34"/>
        <v>28</v>
      </c>
      <c r="C133" s="5">
        <f t="shared" si="35"/>
        <v>0.08</v>
      </c>
      <c r="D133" s="7">
        <f t="shared" si="41"/>
        <v>42448.32</v>
      </c>
      <c r="E133" s="7">
        <f t="shared" si="36"/>
        <v>2122.4160000000002</v>
      </c>
      <c r="F133" s="7" t="str">
        <f t="shared" si="31"/>
        <v/>
      </c>
      <c r="G133" s="7">
        <f t="shared" si="37"/>
        <v>1061.2080000000001</v>
      </c>
      <c r="H133" s="7">
        <f t="shared" si="38"/>
        <v>0</v>
      </c>
      <c r="I133" s="7">
        <f t="shared" si="39"/>
        <v>0</v>
      </c>
      <c r="J133" s="8">
        <f t="shared" si="40"/>
        <v>794.01600000000508</v>
      </c>
      <c r="K133" s="8">
        <f t="shared" si="32"/>
        <v>13902.840000000015</v>
      </c>
    </row>
    <row r="134" spans="1:11" x14ac:dyDescent="0.2">
      <c r="A134" s="4">
        <f t="shared" si="33"/>
        <v>5</v>
      </c>
      <c r="B134" s="4">
        <f t="shared" si="34"/>
        <v>29</v>
      </c>
      <c r="C134" s="5">
        <f t="shared" si="35"/>
        <v>0.08</v>
      </c>
      <c r="D134" s="7">
        <f t="shared" si="41"/>
        <v>43297.286399999997</v>
      </c>
      <c r="E134" s="7">
        <f t="shared" si="36"/>
        <v>2164.8643200000001</v>
      </c>
      <c r="F134" s="7" t="str">
        <f t="shared" si="31"/>
        <v/>
      </c>
      <c r="G134" s="7">
        <f t="shared" si="37"/>
        <v>1082.4321600000001</v>
      </c>
      <c r="H134" s="7">
        <f t="shared" si="38"/>
        <v>0</v>
      </c>
      <c r="I134" s="7">
        <f t="shared" si="39"/>
        <v>0</v>
      </c>
      <c r="J134" s="8">
        <f t="shared" si="40"/>
        <v>1112.2272000000048</v>
      </c>
      <c r="K134" s="8">
        <f t="shared" si="32"/>
        <v>18262.36368000002</v>
      </c>
    </row>
    <row r="135" spans="1:11" x14ac:dyDescent="0.2">
      <c r="A135" s="4">
        <f t="shared" si="33"/>
        <v>6</v>
      </c>
      <c r="B135" s="4">
        <f t="shared" si="34"/>
        <v>30</v>
      </c>
      <c r="C135" s="5">
        <f t="shared" si="35"/>
        <v>0.08</v>
      </c>
      <c r="D135" s="7">
        <f t="shared" si="41"/>
        <v>44163.232127999996</v>
      </c>
      <c r="E135" s="7">
        <f t="shared" si="36"/>
        <v>2208.1616064</v>
      </c>
      <c r="F135" s="7" t="str">
        <f t="shared" si="31"/>
        <v/>
      </c>
      <c r="G135" s="7">
        <f t="shared" si="37"/>
        <v>1104.0808032</v>
      </c>
      <c r="H135" s="7">
        <f t="shared" si="38"/>
        <v>0</v>
      </c>
      <c r="I135" s="7">
        <f t="shared" si="39"/>
        <v>0</v>
      </c>
      <c r="J135" s="8">
        <f t="shared" si="40"/>
        <v>1460.9890944000072</v>
      </c>
      <c r="K135" s="8">
        <f t="shared" si="32"/>
        <v>23035.595184000027</v>
      </c>
    </row>
    <row r="136" spans="1:11" x14ac:dyDescent="0.2">
      <c r="A136" s="4">
        <f t="shared" si="33"/>
        <v>7</v>
      </c>
      <c r="B136" s="4">
        <f t="shared" si="34"/>
        <v>31</v>
      </c>
      <c r="C136" s="5">
        <f t="shared" si="35"/>
        <v>0.08</v>
      </c>
      <c r="D136" s="7">
        <f t="shared" si="41"/>
        <v>45046.496770559999</v>
      </c>
      <c r="E136" s="7">
        <f t="shared" si="36"/>
        <v>2252.3248385279999</v>
      </c>
      <c r="F136" s="7" t="str">
        <f t="shared" si="31"/>
        <v/>
      </c>
      <c r="G136" s="7">
        <f t="shared" si="37"/>
        <v>1126.1624192639999</v>
      </c>
      <c r="H136" s="7">
        <f t="shared" si="38"/>
        <v>0</v>
      </c>
      <c r="I136" s="7">
        <f t="shared" si="39"/>
        <v>0</v>
      </c>
      <c r="J136" s="8">
        <f t="shared" si="40"/>
        <v>1842.847614720009</v>
      </c>
      <c r="K136" s="8">
        <f t="shared" si="32"/>
        <v>28256.930056512036</v>
      </c>
    </row>
    <row r="137" spans="1:11" x14ac:dyDescent="0.2">
      <c r="A137" s="4">
        <f t="shared" si="33"/>
        <v>8</v>
      </c>
      <c r="B137" s="4">
        <f t="shared" si="34"/>
        <v>32</v>
      </c>
      <c r="C137" s="5">
        <f t="shared" si="35"/>
        <v>0.08</v>
      </c>
      <c r="D137" s="7">
        <f t="shared" si="41"/>
        <v>45947.4267059712</v>
      </c>
      <c r="E137" s="7">
        <f t="shared" si="36"/>
        <v>2297.3713352985601</v>
      </c>
      <c r="F137" s="7" t="str">
        <f t="shared" si="31"/>
        <v/>
      </c>
      <c r="G137" s="7">
        <f t="shared" si="37"/>
        <v>1148.68566764928</v>
      </c>
      <c r="H137" s="7">
        <f t="shared" si="38"/>
        <v>0</v>
      </c>
      <c r="I137" s="7">
        <f t="shared" si="39"/>
        <v>0</v>
      </c>
      <c r="J137" s="8">
        <f t="shared" si="40"/>
        <v>2260.5544045209681</v>
      </c>
      <c r="K137" s="8">
        <f t="shared" si="32"/>
        <v>33963.541463980844</v>
      </c>
    </row>
    <row r="138" spans="1:11" x14ac:dyDescent="0.2">
      <c r="A138" s="4">
        <f t="shared" si="33"/>
        <v>9</v>
      </c>
      <c r="B138" s="4">
        <f t="shared" si="34"/>
        <v>33</v>
      </c>
      <c r="C138" s="5">
        <f t="shared" si="35"/>
        <v>0.08</v>
      </c>
      <c r="D138" s="7">
        <f t="shared" si="41"/>
        <v>46866.375240090623</v>
      </c>
      <c r="E138" s="7">
        <f t="shared" si="36"/>
        <v>2343.3187620045314</v>
      </c>
      <c r="F138" s="7" t="str">
        <f t="shared" si="31"/>
        <v/>
      </c>
      <c r="G138" s="7">
        <f t="shared" si="37"/>
        <v>1171.6593810022657</v>
      </c>
      <c r="H138" s="7">
        <f t="shared" si="38"/>
        <v>0</v>
      </c>
      <c r="I138" s="7">
        <f t="shared" si="39"/>
        <v>0</v>
      </c>
      <c r="J138" s="8">
        <f t="shared" si="40"/>
        <v>2717.0833171184786</v>
      </c>
      <c r="K138" s="8">
        <f t="shared" si="32"/>
        <v>40195.602924106119</v>
      </c>
    </row>
    <row r="139" spans="1:11" x14ac:dyDescent="0.2">
      <c r="A139" s="4">
        <f t="shared" si="33"/>
        <v>10</v>
      </c>
      <c r="B139" s="4">
        <f t="shared" si="34"/>
        <v>34</v>
      </c>
      <c r="C139" s="5">
        <f t="shared" si="35"/>
        <v>0.08</v>
      </c>
      <c r="D139" s="7">
        <f t="shared" si="41"/>
        <v>47803.702744892435</v>
      </c>
      <c r="E139" s="7">
        <f t="shared" si="36"/>
        <v>2390.1851372446217</v>
      </c>
      <c r="F139" s="7" t="str">
        <f t="shared" si="31"/>
        <v/>
      </c>
      <c r="G139" s="7">
        <f t="shared" si="37"/>
        <v>1195.0925686223109</v>
      </c>
      <c r="H139" s="7">
        <f t="shared" si="38"/>
        <v>0</v>
      </c>
      <c r="I139" s="7">
        <f t="shared" si="39"/>
        <v>0</v>
      </c>
      <c r="J139" s="8">
        <f t="shared" si="40"/>
        <v>3215.6482339284921</v>
      </c>
      <c r="K139" s="8">
        <f t="shared" si="32"/>
        <v>46996.528863901549</v>
      </c>
    </row>
    <row r="140" spans="1:11" x14ac:dyDescent="0.2">
      <c r="A140" s="4">
        <f t="shared" si="33"/>
        <v>11</v>
      </c>
      <c r="B140" s="4">
        <f t="shared" si="34"/>
        <v>35</v>
      </c>
      <c r="C140" s="5">
        <f t="shared" si="35"/>
        <v>0.08</v>
      </c>
      <c r="D140" s="7">
        <f t="shared" si="41"/>
        <v>48759.776799790285</v>
      </c>
      <c r="E140" s="7">
        <f t="shared" si="36"/>
        <v>2437.9888399895144</v>
      </c>
      <c r="F140" s="7" t="str">
        <f t="shared" si="31"/>
        <v/>
      </c>
      <c r="G140" s="7">
        <f t="shared" si="37"/>
        <v>1218.9944199947572</v>
      </c>
      <c r="H140" s="7">
        <f t="shared" si="38"/>
        <v>0</v>
      </c>
      <c r="I140" s="7">
        <f t="shared" si="39"/>
        <v>0</v>
      </c>
      <c r="J140" s="8">
        <f t="shared" si="40"/>
        <v>3759.7223091121341</v>
      </c>
      <c r="K140" s="8">
        <f t="shared" si="32"/>
        <v>54413.234432997953</v>
      </c>
    </row>
    <row r="141" spans="1:11" x14ac:dyDescent="0.2">
      <c r="A141" s="4">
        <f t="shared" si="33"/>
        <v>12</v>
      </c>
      <c r="B141" s="4">
        <f t="shared" si="34"/>
        <v>36</v>
      </c>
      <c r="C141" s="5">
        <f t="shared" si="35"/>
        <v>0.08</v>
      </c>
      <c r="D141" s="7">
        <f t="shared" si="41"/>
        <v>49734.972335786093</v>
      </c>
      <c r="E141" s="7">
        <f t="shared" si="36"/>
        <v>2486.7486167893048</v>
      </c>
      <c r="F141" s="7" t="str">
        <f t="shared" si="31"/>
        <v/>
      </c>
      <c r="G141" s="7">
        <f t="shared" si="37"/>
        <v>1243.3743083946524</v>
      </c>
      <c r="H141" s="7">
        <f t="shared" si="38"/>
        <v>0</v>
      </c>
      <c r="I141" s="7">
        <f t="shared" si="39"/>
        <v>0</v>
      </c>
      <c r="J141" s="8">
        <f t="shared" si="40"/>
        <v>4353.0587546398383</v>
      </c>
      <c r="K141" s="8">
        <f t="shared" si="32"/>
        <v>62496.416112821753</v>
      </c>
    </row>
    <row r="142" spans="1:11" x14ac:dyDescent="0.2">
      <c r="A142" s="4">
        <f t="shared" si="33"/>
        <v>13</v>
      </c>
      <c r="B142" s="4">
        <f t="shared" si="34"/>
        <v>37</v>
      </c>
      <c r="C142" s="5">
        <f t="shared" si="35"/>
        <v>0.08</v>
      </c>
      <c r="D142" s="7">
        <f t="shared" si="41"/>
        <v>50729.671782501813</v>
      </c>
      <c r="E142" s="7">
        <f t="shared" si="36"/>
        <v>2536.4835891250909</v>
      </c>
      <c r="F142" s="7" t="str">
        <f t="shared" si="31"/>
        <v/>
      </c>
      <c r="G142" s="7">
        <f t="shared" si="37"/>
        <v>1268.2417945625455</v>
      </c>
      <c r="H142" s="7">
        <f t="shared" si="38"/>
        <v>0</v>
      </c>
      <c r="I142" s="7">
        <f t="shared" si="39"/>
        <v>0</v>
      </c>
      <c r="J142" s="8">
        <f t="shared" si="40"/>
        <v>4999.713289025749</v>
      </c>
      <c r="K142" s="8">
        <f t="shared" si="32"/>
        <v>71300.854785535135</v>
      </c>
    </row>
    <row r="143" spans="1:11" x14ac:dyDescent="0.2">
      <c r="A143" s="4">
        <f t="shared" si="33"/>
        <v>14</v>
      </c>
      <c r="B143" s="4">
        <f t="shared" si="34"/>
        <v>38</v>
      </c>
      <c r="C143" s="5">
        <f t="shared" si="35"/>
        <v>0.08</v>
      </c>
      <c r="D143" s="7">
        <f t="shared" si="41"/>
        <v>51744.26521815185</v>
      </c>
      <c r="E143" s="7">
        <f t="shared" si="36"/>
        <v>2587.2132609075925</v>
      </c>
      <c r="F143" s="7" t="str">
        <f t="shared" si="31"/>
        <v/>
      </c>
      <c r="G143" s="7">
        <f t="shared" si="37"/>
        <v>1293.6066304537962</v>
      </c>
      <c r="H143" s="7">
        <f t="shared" si="38"/>
        <v>0</v>
      </c>
      <c r="I143" s="7">
        <f t="shared" si="39"/>
        <v>0</v>
      </c>
      <c r="J143" s="8">
        <f t="shared" si="40"/>
        <v>5704.0683828428155</v>
      </c>
      <c r="K143" s="8">
        <f t="shared" si="32"/>
        <v>80885.74305973934</v>
      </c>
    </row>
    <row r="144" spans="1:11" x14ac:dyDescent="0.2">
      <c r="A144" s="4">
        <f t="shared" si="33"/>
        <v>15</v>
      </c>
      <c r="B144" s="4">
        <f t="shared" si="34"/>
        <v>39</v>
      </c>
      <c r="C144" s="5">
        <f t="shared" si="35"/>
        <v>0.08</v>
      </c>
      <c r="D144" s="7">
        <f t="shared" si="41"/>
        <v>52779.150522514887</v>
      </c>
      <c r="E144" s="7">
        <f t="shared" si="36"/>
        <v>2638.9575261257446</v>
      </c>
      <c r="F144" s="7" t="str">
        <f t="shared" si="31"/>
        <v/>
      </c>
      <c r="G144" s="7">
        <f t="shared" si="37"/>
        <v>1319.4787630628723</v>
      </c>
      <c r="H144" s="7">
        <f t="shared" si="38"/>
        <v>0</v>
      </c>
      <c r="I144" s="7">
        <f t="shared" si="39"/>
        <v>0</v>
      </c>
      <c r="J144" s="8">
        <f t="shared" si="40"/>
        <v>6470.8594447791693</v>
      </c>
      <c r="K144" s="8">
        <f t="shared" si="32"/>
        <v>91315.038793707121</v>
      </c>
    </row>
    <row r="145" spans="1:11" x14ac:dyDescent="0.2">
      <c r="A145" s="4">
        <f t="shared" si="33"/>
        <v>16</v>
      </c>
      <c r="B145" s="4">
        <f t="shared" si="34"/>
        <v>40</v>
      </c>
      <c r="C145" s="5">
        <f t="shared" si="35"/>
        <v>0.08</v>
      </c>
      <c r="D145" s="7">
        <f t="shared" si="41"/>
        <v>53834.733532965183</v>
      </c>
      <c r="E145" s="7">
        <f t="shared" si="36"/>
        <v>2691.7366766482592</v>
      </c>
      <c r="F145" s="7" t="str">
        <f t="shared" si="31"/>
        <v/>
      </c>
      <c r="G145" s="7">
        <f t="shared" si="37"/>
        <v>1345.8683383241296</v>
      </c>
      <c r="H145" s="7">
        <f t="shared" si="38"/>
        <v>0</v>
      </c>
      <c r="I145" s="7">
        <f t="shared" si="39"/>
        <v>0</v>
      </c>
      <c r="J145" s="8">
        <f t="shared" si="40"/>
        <v>7305.2031034965767</v>
      </c>
      <c r="K145" s="8">
        <f t="shared" si="32"/>
        <v>102657.84691217609</v>
      </c>
    </row>
    <row r="146" spans="1:11" x14ac:dyDescent="0.2">
      <c r="A146" s="4">
        <f t="shared" si="33"/>
        <v>17</v>
      </c>
      <c r="B146" s="4">
        <f t="shared" si="34"/>
        <v>41</v>
      </c>
      <c r="C146" s="5">
        <f t="shared" si="35"/>
        <v>0.08</v>
      </c>
      <c r="D146" s="7">
        <f t="shared" si="41"/>
        <v>54911.428203624491</v>
      </c>
      <c r="E146" s="7">
        <f t="shared" si="36"/>
        <v>2745.5714101812246</v>
      </c>
      <c r="F146" s="7" t="str">
        <f t="shared" si="31"/>
        <v/>
      </c>
      <c r="G146" s="7">
        <f t="shared" si="37"/>
        <v>1372.7857050906123</v>
      </c>
      <c r="H146" s="7">
        <f t="shared" si="38"/>
        <v>0</v>
      </c>
      <c r="I146" s="7">
        <f t="shared" si="39"/>
        <v>0</v>
      </c>
      <c r="J146" s="8">
        <f t="shared" si="40"/>
        <v>8212.627752974091</v>
      </c>
      <c r="K146" s="8">
        <f t="shared" si="32"/>
        <v>114988.83178042201</v>
      </c>
    </row>
    <row r="147" spans="1:11" x14ac:dyDescent="0.2">
      <c r="A147" s="4">
        <f t="shared" si="33"/>
        <v>18</v>
      </c>
      <c r="B147" s="4">
        <f t="shared" si="34"/>
        <v>42</v>
      </c>
      <c r="C147" s="5">
        <f t="shared" si="35"/>
        <v>0.08</v>
      </c>
      <c r="D147" s="7">
        <f t="shared" si="41"/>
        <v>56009.656767696979</v>
      </c>
      <c r="E147" s="7">
        <f t="shared" si="36"/>
        <v>2800.4828383848489</v>
      </c>
      <c r="F147" s="7" t="str">
        <f t="shared" si="31"/>
        <v/>
      </c>
      <c r="G147" s="7">
        <f t="shared" si="37"/>
        <v>1400.2414191924245</v>
      </c>
      <c r="H147" s="7">
        <f t="shared" si="38"/>
        <v>0</v>
      </c>
      <c r="I147" s="7">
        <f t="shared" si="39"/>
        <v>0</v>
      </c>
      <c r="J147" s="8">
        <f t="shared" si="40"/>
        <v>9199.1065424337867</v>
      </c>
      <c r="K147" s="8">
        <f t="shared" si="32"/>
        <v>128388.66258043307</v>
      </c>
    </row>
    <row r="148" spans="1:11" x14ac:dyDescent="0.2">
      <c r="A148" s="4">
        <f t="shared" si="33"/>
        <v>19</v>
      </c>
      <c r="B148" s="4">
        <f t="shared" si="34"/>
        <v>43</v>
      </c>
      <c r="C148" s="5">
        <f t="shared" si="35"/>
        <v>0.08</v>
      </c>
      <c r="D148" s="7">
        <f t="shared" si="41"/>
        <v>57129.849903050919</v>
      </c>
      <c r="E148" s="7">
        <f t="shared" si="36"/>
        <v>2856.4924951525463</v>
      </c>
      <c r="F148" s="7" t="str">
        <f t="shared" si="31"/>
        <v/>
      </c>
      <c r="G148" s="7">
        <f t="shared" si="37"/>
        <v>1428.2462475762732</v>
      </c>
      <c r="H148" s="7">
        <f t="shared" si="38"/>
        <v>0</v>
      </c>
      <c r="I148" s="7">
        <f t="shared" si="39"/>
        <v>0</v>
      </c>
      <c r="J148" s="8">
        <f t="shared" si="40"/>
        <v>10271.093006434647</v>
      </c>
      <c r="K148" s="8">
        <f t="shared" si="32"/>
        <v>142944.49432959655</v>
      </c>
    </row>
    <row r="149" spans="1:11" x14ac:dyDescent="0.2">
      <c r="A149" s="4">
        <f t="shared" si="33"/>
        <v>20</v>
      </c>
      <c r="B149" s="4">
        <f t="shared" si="34"/>
        <v>44</v>
      </c>
      <c r="C149" s="5">
        <f t="shared" si="35"/>
        <v>0.08</v>
      </c>
      <c r="D149" s="7">
        <f t="shared" si="41"/>
        <v>58272.446901111936</v>
      </c>
      <c r="E149" s="7">
        <f t="shared" si="36"/>
        <v>2913.6223450555972</v>
      </c>
      <c r="F149" s="7" t="str">
        <f t="shared" si="31"/>
        <v/>
      </c>
      <c r="G149" s="7">
        <f t="shared" si="37"/>
        <v>1456.8111725277986</v>
      </c>
      <c r="H149" s="7">
        <f t="shared" si="38"/>
        <v>0</v>
      </c>
      <c r="I149" s="7">
        <f t="shared" si="39"/>
        <v>0</v>
      </c>
      <c r="J149" s="8">
        <f t="shared" si="40"/>
        <v>11435.55954636776</v>
      </c>
      <c r="K149" s="8">
        <f t="shared" si="32"/>
        <v>158750.48739354769</v>
      </c>
    </row>
    <row r="150" spans="1:11" x14ac:dyDescent="0.2">
      <c r="A150" s="4">
        <f t="shared" si="33"/>
        <v>21</v>
      </c>
      <c r="B150" s="4">
        <f t="shared" si="34"/>
        <v>45</v>
      </c>
      <c r="C150" s="5">
        <f t="shared" si="35"/>
        <v>0.08</v>
      </c>
      <c r="D150" s="7">
        <f t="shared" si="41"/>
        <v>59437.895839134173</v>
      </c>
      <c r="E150" s="7">
        <f t="shared" si="36"/>
        <v>2971.894791956709</v>
      </c>
      <c r="F150" s="7" t="str">
        <f t="shared" si="31"/>
        <v/>
      </c>
      <c r="G150" s="7">
        <f t="shared" si="37"/>
        <v>1485.9473959783545</v>
      </c>
      <c r="H150" s="7">
        <f t="shared" si="38"/>
        <v>0</v>
      </c>
      <c r="I150" s="7">
        <f t="shared" si="39"/>
        <v>0</v>
      </c>
      <c r="J150" s="8">
        <f t="shared" si="40"/>
        <v>12700.03899148386</v>
      </c>
      <c r="K150" s="8">
        <f t="shared" si="32"/>
        <v>175908.3685729666</v>
      </c>
    </row>
    <row r="151" spans="1:11" x14ac:dyDescent="0.2">
      <c r="A151" s="4">
        <f t="shared" si="33"/>
        <v>22</v>
      </c>
      <c r="B151" s="4">
        <f t="shared" si="34"/>
        <v>46</v>
      </c>
      <c r="C151" s="5">
        <f t="shared" si="35"/>
        <v>0.08</v>
      </c>
      <c r="D151" s="7">
        <f t="shared" si="41"/>
        <v>60626.653755916857</v>
      </c>
      <c r="E151" s="7">
        <f t="shared" si="36"/>
        <v>3031.332687795843</v>
      </c>
      <c r="F151" s="7" t="str">
        <f t="shared" si="31"/>
        <v/>
      </c>
      <c r="G151" s="7">
        <f t="shared" si="37"/>
        <v>1515.6663438979215</v>
      </c>
      <c r="H151" s="7">
        <f t="shared" si="38"/>
        <v>0</v>
      </c>
      <c r="I151" s="7">
        <f t="shared" si="39"/>
        <v>0</v>
      </c>
      <c r="J151" s="8">
        <f t="shared" si="40"/>
        <v>14072.669485837338</v>
      </c>
      <c r="K151" s="8">
        <f t="shared" si="32"/>
        <v>194528.0370904977</v>
      </c>
    </row>
    <row r="152" spans="1:11" x14ac:dyDescent="0.2">
      <c r="A152" s="4">
        <f t="shared" si="33"/>
        <v>23</v>
      </c>
      <c r="B152" s="4">
        <f t="shared" si="34"/>
        <v>47</v>
      </c>
      <c r="C152" s="5">
        <f t="shared" si="35"/>
        <v>0.08</v>
      </c>
      <c r="D152" s="7">
        <f t="shared" si="41"/>
        <v>61839.186831035193</v>
      </c>
      <c r="E152" s="7">
        <f t="shared" si="36"/>
        <v>3091.9593415517597</v>
      </c>
      <c r="F152" s="7" t="str">
        <f t="shared" si="31"/>
        <v/>
      </c>
      <c r="G152" s="7">
        <f t="shared" si="37"/>
        <v>1545.9796707758799</v>
      </c>
      <c r="H152" s="7">
        <f t="shared" si="38"/>
        <v>0</v>
      </c>
      <c r="I152" s="7">
        <f t="shared" si="39"/>
        <v>0</v>
      </c>
      <c r="J152" s="8">
        <f t="shared" si="40"/>
        <v>15562.242967239843</v>
      </c>
      <c r="K152" s="8">
        <f t="shared" si="32"/>
        <v>214728.21907006518</v>
      </c>
    </row>
    <row r="153" spans="1:11" x14ac:dyDescent="0.2">
      <c r="A153" s="4">
        <f t="shared" si="33"/>
        <v>24</v>
      </c>
      <c r="B153" s="4">
        <f t="shared" si="34"/>
        <v>48</v>
      </c>
      <c r="C153" s="5">
        <f t="shared" si="35"/>
        <v>0.08</v>
      </c>
      <c r="D153" s="7">
        <f t="shared" si="41"/>
        <v>63075.970567655895</v>
      </c>
      <c r="E153" s="7">
        <f t="shared" si="36"/>
        <v>3153.7985283827948</v>
      </c>
      <c r="F153" s="7" t="str">
        <f t="shared" si="31"/>
        <v/>
      </c>
      <c r="G153" s="7">
        <f t="shared" si="37"/>
        <v>1576.8992641913974</v>
      </c>
      <c r="H153" s="7">
        <f t="shared" si="38"/>
        <v>0</v>
      </c>
      <c r="I153" s="7">
        <f t="shared" si="39"/>
        <v>0</v>
      </c>
      <c r="J153" s="8">
        <f t="shared" si="40"/>
        <v>17178.257525605266</v>
      </c>
      <c r="K153" s="8">
        <f t="shared" si="32"/>
        <v>236637.17438824463</v>
      </c>
    </row>
    <row r="154" spans="1:11" x14ac:dyDescent="0.2">
      <c r="A154" s="4">
        <f t="shared" si="33"/>
        <v>25</v>
      </c>
      <c r="B154" s="4">
        <f t="shared" si="34"/>
        <v>49</v>
      </c>
      <c r="C154" s="5">
        <f t="shared" si="35"/>
        <v>0.08</v>
      </c>
      <c r="D154" s="7">
        <f t="shared" si="41"/>
        <v>64337.489979009013</v>
      </c>
      <c r="E154" s="7">
        <f t="shared" si="36"/>
        <v>3216.8744989504507</v>
      </c>
      <c r="F154" s="7" t="str">
        <f t="shared" si="31"/>
        <v/>
      </c>
      <c r="G154" s="7">
        <f t="shared" si="37"/>
        <v>1608.4372494752254</v>
      </c>
      <c r="H154" s="7">
        <f t="shared" si="38"/>
        <v>0</v>
      </c>
      <c r="I154" s="7">
        <f t="shared" si="39"/>
        <v>0</v>
      </c>
      <c r="J154" s="8">
        <f t="shared" si="40"/>
        <v>18930.973951059597</v>
      </c>
      <c r="K154" s="8">
        <f t="shared" si="32"/>
        <v>260393.46008772991</v>
      </c>
    </row>
    <row r="155" spans="1:11" x14ac:dyDescent="0.2">
      <c r="A155" s="4">
        <f t="shared" si="33"/>
        <v>26</v>
      </c>
      <c r="B155" s="4">
        <f t="shared" si="34"/>
        <v>50</v>
      </c>
      <c r="C155" s="5">
        <f t="shared" si="35"/>
        <v>0.08</v>
      </c>
      <c r="D155" s="7">
        <f t="shared" si="41"/>
        <v>65624.239778589195</v>
      </c>
      <c r="E155" s="7">
        <f t="shared" si="36"/>
        <v>3281.2119889294599</v>
      </c>
      <c r="F155" s="7" t="str">
        <f t="shared" si="31"/>
        <v/>
      </c>
      <c r="G155" s="7">
        <f t="shared" si="37"/>
        <v>1640.60599446473</v>
      </c>
      <c r="H155" s="7">
        <f t="shared" si="38"/>
        <v>0</v>
      </c>
      <c r="I155" s="7">
        <f t="shared" si="39"/>
        <v>0</v>
      </c>
      <c r="J155" s="8">
        <f t="shared" si="40"/>
        <v>20831.476807018393</v>
      </c>
      <c r="K155" s="8">
        <f t="shared" si="32"/>
        <v>286146.7548781425</v>
      </c>
    </row>
    <row r="156" spans="1:11" x14ac:dyDescent="0.2">
      <c r="A156" s="4">
        <f t="shared" si="33"/>
        <v>27</v>
      </c>
      <c r="B156" s="4">
        <f t="shared" si="34"/>
        <v>51</v>
      </c>
      <c r="C156" s="5">
        <f t="shared" si="35"/>
        <v>0.08</v>
      </c>
      <c r="D156" s="7">
        <f t="shared" si="41"/>
        <v>66936.72457416098</v>
      </c>
      <c r="E156" s="7">
        <f t="shared" si="36"/>
        <v>3346.836228708049</v>
      </c>
      <c r="F156" s="7" t="str">
        <f t="shared" si="31"/>
        <v/>
      </c>
      <c r="G156" s="7">
        <f t="shared" si="37"/>
        <v>1673.4181143540245</v>
      </c>
      <c r="H156" s="7">
        <f t="shared" si="38"/>
        <v>0</v>
      </c>
      <c r="I156" s="7">
        <f t="shared" si="39"/>
        <v>0</v>
      </c>
      <c r="J156" s="8">
        <f t="shared" si="40"/>
        <v>22891.740390251449</v>
      </c>
      <c r="K156" s="8">
        <f t="shared" si="32"/>
        <v>314058.74961145601</v>
      </c>
    </row>
    <row r="157" spans="1:11" x14ac:dyDescent="0.2">
      <c r="A157" s="4">
        <f t="shared" si="33"/>
        <v>28</v>
      </c>
      <c r="B157" s="4">
        <f t="shared" si="34"/>
        <v>52</v>
      </c>
      <c r="C157" s="5">
        <f t="shared" si="35"/>
        <v>0.08</v>
      </c>
      <c r="D157" s="7">
        <f t="shared" si="41"/>
        <v>68275.459065644201</v>
      </c>
      <c r="E157" s="7">
        <f t="shared" si="36"/>
        <v>3413.7729532822104</v>
      </c>
      <c r="F157" s="7" t="str">
        <f t="shared" si="31"/>
        <v/>
      </c>
      <c r="G157" s="7">
        <f t="shared" si="37"/>
        <v>1706.8864766411052</v>
      </c>
      <c r="H157" s="7">
        <f t="shared" si="38"/>
        <v>0</v>
      </c>
      <c r="I157" s="7">
        <f t="shared" si="39"/>
        <v>0</v>
      </c>
      <c r="J157" s="8">
        <f t="shared" si="40"/>
        <v>25124.69996891648</v>
      </c>
      <c r="K157" s="8">
        <f t="shared" si="32"/>
        <v>344304.10901029583</v>
      </c>
    </row>
    <row r="158" spans="1:11" x14ac:dyDescent="0.2">
      <c r="A158" s="4">
        <f t="shared" si="33"/>
        <v>29</v>
      </c>
      <c r="B158" s="4">
        <f t="shared" si="34"/>
        <v>53</v>
      </c>
      <c r="C158" s="5">
        <f t="shared" si="35"/>
        <v>0.08</v>
      </c>
      <c r="D158" s="7">
        <f t="shared" si="41"/>
        <v>69640.968246957083</v>
      </c>
      <c r="E158" s="7">
        <f t="shared" si="36"/>
        <v>3482.0484123478545</v>
      </c>
      <c r="F158" s="7" t="str">
        <f t="shared" si="31"/>
        <v/>
      </c>
      <c r="G158" s="7">
        <f t="shared" si="37"/>
        <v>1741.0242061739273</v>
      </c>
      <c r="H158" s="7">
        <f t="shared" si="38"/>
        <v>0</v>
      </c>
      <c r="I158" s="7">
        <f t="shared" si="39"/>
        <v>0</v>
      </c>
      <c r="J158" s="8">
        <f t="shared" si="40"/>
        <v>27544.328720823687</v>
      </c>
      <c r="K158" s="8">
        <f t="shared" si="32"/>
        <v>377071.51034964132</v>
      </c>
    </row>
    <row r="159" spans="1:11" x14ac:dyDescent="0.2">
      <c r="A159" s="4">
        <f t="shared" si="33"/>
        <v>30</v>
      </c>
      <c r="B159" s="4">
        <f t="shared" si="34"/>
        <v>54</v>
      </c>
      <c r="C159" s="5">
        <f t="shared" si="35"/>
        <v>0.08</v>
      </c>
      <c r="D159" s="7">
        <f t="shared" si="41"/>
        <v>71033.78761189623</v>
      </c>
      <c r="E159" s="7">
        <f t="shared" si="36"/>
        <v>3551.6893805948116</v>
      </c>
      <c r="F159" s="7" t="str">
        <f t="shared" si="31"/>
        <v/>
      </c>
      <c r="G159" s="7">
        <f t="shared" si="37"/>
        <v>1775.8446902974058</v>
      </c>
      <c r="H159" s="7">
        <f t="shared" si="38"/>
        <v>0</v>
      </c>
      <c r="I159" s="7">
        <f t="shared" si="39"/>
        <v>0</v>
      </c>
      <c r="J159" s="8">
        <f t="shared" si="40"/>
        <v>30165.720827971352</v>
      </c>
      <c r="K159" s="8">
        <f t="shared" si="32"/>
        <v>412564.76524850487</v>
      </c>
    </row>
    <row r="160" spans="1:11" x14ac:dyDescent="0.2">
      <c r="A160" s="4">
        <f t="shared" si="33"/>
        <v>31</v>
      </c>
      <c r="B160" s="4">
        <f t="shared" si="34"/>
        <v>55</v>
      </c>
      <c r="C160" s="5">
        <f t="shared" si="35"/>
        <v>0.08</v>
      </c>
      <c r="D160" s="7">
        <f t="shared" si="41"/>
        <v>72454.46336413415</v>
      </c>
      <c r="E160" s="7">
        <f t="shared" si="36"/>
        <v>3622.7231682067077</v>
      </c>
      <c r="F160" s="7" t="str">
        <f t="shared" si="31"/>
        <v/>
      </c>
      <c r="G160" s="7">
        <f t="shared" si="37"/>
        <v>1811.3615841033538</v>
      </c>
      <c r="H160" s="7">
        <f t="shared" si="38"/>
        <v>0</v>
      </c>
      <c r="I160" s="7">
        <f t="shared" si="39"/>
        <v>0</v>
      </c>
      <c r="J160" s="8">
        <f t="shared" si="40"/>
        <v>33005.181219880411</v>
      </c>
      <c r="K160" s="8">
        <f t="shared" si="32"/>
        <v>451004.03122069535</v>
      </c>
    </row>
    <row r="161" spans="1:11" x14ac:dyDescent="0.2">
      <c r="A161" s="4">
        <f t="shared" si="33"/>
        <v>32</v>
      </c>
      <c r="B161" s="4">
        <f t="shared" si="34"/>
        <v>56</v>
      </c>
      <c r="C161" s="5">
        <f t="shared" si="35"/>
        <v>0.08</v>
      </c>
      <c r="D161" s="7">
        <f t="shared" si="41"/>
        <v>73903.552631416838</v>
      </c>
      <c r="E161" s="7">
        <f t="shared" si="36"/>
        <v>3695.1776315708421</v>
      </c>
      <c r="F161" s="7" t="str">
        <f t="shared" si="31"/>
        <v/>
      </c>
      <c r="G161" s="7">
        <f t="shared" si="37"/>
        <v>1847.588815785421</v>
      </c>
      <c r="H161" s="7">
        <f t="shared" si="38"/>
        <v>0</v>
      </c>
      <c r="I161" s="7">
        <f t="shared" si="39"/>
        <v>0</v>
      </c>
      <c r="J161" s="8">
        <f t="shared" si="40"/>
        <v>36080.322497655638</v>
      </c>
      <c r="K161" s="8">
        <f t="shared" si="32"/>
        <v>492627.12016570725</v>
      </c>
    </row>
    <row r="162" spans="1:11" x14ac:dyDescent="0.2">
      <c r="A162" s="4">
        <f t="shared" si="33"/>
        <v>33</v>
      </c>
      <c r="B162" s="4">
        <f t="shared" si="34"/>
        <v>57</v>
      </c>
      <c r="C162" s="5">
        <f t="shared" si="35"/>
        <v>0.08</v>
      </c>
      <c r="D162" s="7">
        <f t="shared" si="41"/>
        <v>75381.623684045175</v>
      </c>
      <c r="E162" s="7">
        <f t="shared" si="36"/>
        <v>3769.081184202259</v>
      </c>
      <c r="F162" s="7" t="str">
        <f t="shared" ref="F162:F193" si="42">IF(ISERROR(A162),NA(),"")</f>
        <v/>
      </c>
      <c r="G162" s="7">
        <f t="shared" si="37"/>
        <v>1884.5405921011295</v>
      </c>
      <c r="H162" s="7">
        <f t="shared" si="38"/>
        <v>0</v>
      </c>
      <c r="I162" s="7">
        <f t="shared" si="39"/>
        <v>0</v>
      </c>
      <c r="J162" s="8">
        <f t="shared" si="40"/>
        <v>39410.169613256643</v>
      </c>
      <c r="K162" s="8">
        <f t="shared" ref="K162:K193" si="43">IF(ISERROR(A162),NA(),K161+E162+G162+J162-I162)</f>
        <v>537690.91155526729</v>
      </c>
    </row>
    <row r="163" spans="1:11" x14ac:dyDescent="0.2">
      <c r="A163" s="4">
        <f t="shared" si="33"/>
        <v>34</v>
      </c>
      <c r="B163" s="4">
        <f t="shared" si="34"/>
        <v>58</v>
      </c>
      <c r="C163" s="5">
        <f t="shared" si="35"/>
        <v>0.08</v>
      </c>
      <c r="D163" s="7">
        <f t="shared" si="41"/>
        <v>76889.256157726079</v>
      </c>
      <c r="E163" s="7">
        <f t="shared" si="36"/>
        <v>3844.4628078863043</v>
      </c>
      <c r="F163" s="7" t="str">
        <f t="shared" si="42"/>
        <v/>
      </c>
      <c r="G163" s="7">
        <f t="shared" si="37"/>
        <v>1922.2314039431521</v>
      </c>
      <c r="H163" s="7">
        <f t="shared" si="38"/>
        <v>0</v>
      </c>
      <c r="I163" s="7">
        <f t="shared" si="39"/>
        <v>0</v>
      </c>
      <c r="J163" s="8">
        <f t="shared" si="40"/>
        <v>43015.272924421472</v>
      </c>
      <c r="K163" s="8">
        <f t="shared" si="43"/>
        <v>586472.87869151821</v>
      </c>
    </row>
    <row r="164" spans="1:11" x14ac:dyDescent="0.2">
      <c r="A164" s="4">
        <f t="shared" si="33"/>
        <v>35</v>
      </c>
      <c r="B164" s="4">
        <f t="shared" si="34"/>
        <v>59</v>
      </c>
      <c r="C164" s="5">
        <f t="shared" si="35"/>
        <v>0.08</v>
      </c>
      <c r="D164" s="7">
        <f t="shared" si="41"/>
        <v>78427.0412808806</v>
      </c>
      <c r="E164" s="7">
        <f t="shared" si="36"/>
        <v>3921.3520640440302</v>
      </c>
      <c r="F164" s="7" t="str">
        <f t="shared" si="42"/>
        <v/>
      </c>
      <c r="G164" s="7">
        <f t="shared" si="37"/>
        <v>1960.6760320220151</v>
      </c>
      <c r="H164" s="7">
        <f t="shared" si="38"/>
        <v>0</v>
      </c>
      <c r="I164" s="7">
        <f t="shared" si="39"/>
        <v>0</v>
      </c>
      <c r="J164" s="8">
        <f t="shared" si="40"/>
        <v>46917.830295321648</v>
      </c>
      <c r="K164" s="8">
        <f t="shared" si="43"/>
        <v>639272.73708290583</v>
      </c>
    </row>
    <row r="165" spans="1:11" x14ac:dyDescent="0.2">
      <c r="A165" s="4">
        <f t="shared" si="33"/>
        <v>36</v>
      </c>
      <c r="B165" s="4">
        <f t="shared" si="34"/>
        <v>60</v>
      </c>
      <c r="C165" s="5">
        <f t="shared" si="35"/>
        <v>0.08</v>
      </c>
      <c r="D165" s="7">
        <f t="shared" si="41"/>
        <v>79995.582106498216</v>
      </c>
      <c r="E165" s="7">
        <f t="shared" si="36"/>
        <v>3999.7791053249111</v>
      </c>
      <c r="F165" s="7" t="str">
        <f t="shared" si="42"/>
        <v/>
      </c>
      <c r="G165" s="7">
        <f t="shared" si="37"/>
        <v>1999.8895526624556</v>
      </c>
      <c r="H165" s="7">
        <f t="shared" si="38"/>
        <v>0</v>
      </c>
      <c r="I165" s="7">
        <f t="shared" si="39"/>
        <v>0</v>
      </c>
      <c r="J165" s="8">
        <f t="shared" si="40"/>
        <v>51141.818966632476</v>
      </c>
      <c r="K165" s="8">
        <f t="shared" si="43"/>
        <v>696414.22470752569</v>
      </c>
    </row>
    <row r="166" spans="1:11" x14ac:dyDescent="0.2">
      <c r="A166" s="4">
        <f t="shared" si="33"/>
        <v>37</v>
      </c>
      <c r="B166" s="4">
        <f t="shared" si="34"/>
        <v>61</v>
      </c>
      <c r="C166" s="5">
        <f t="shared" si="35"/>
        <v>0.08</v>
      </c>
      <c r="D166" s="7">
        <f t="shared" si="41"/>
        <v>81595.493748628185</v>
      </c>
      <c r="E166" s="7">
        <f t="shared" si="36"/>
        <v>4079.7746874314093</v>
      </c>
      <c r="F166" s="7" t="str">
        <f t="shared" si="42"/>
        <v/>
      </c>
      <c r="G166" s="7">
        <f t="shared" si="37"/>
        <v>2039.8873437157047</v>
      </c>
      <c r="H166" s="7">
        <f t="shared" si="38"/>
        <v>0</v>
      </c>
      <c r="I166" s="7">
        <f t="shared" si="39"/>
        <v>0</v>
      </c>
      <c r="J166" s="8">
        <f t="shared" si="40"/>
        <v>55713.137976602069</v>
      </c>
      <c r="K166" s="8">
        <f t="shared" si="43"/>
        <v>758247.02471527492</v>
      </c>
    </row>
    <row r="167" spans="1:11" x14ac:dyDescent="0.2">
      <c r="A167" s="4">
        <f t="shared" si="33"/>
        <v>38</v>
      </c>
      <c r="B167" s="4">
        <f t="shared" si="34"/>
        <v>62</v>
      </c>
      <c r="C167" s="5">
        <f t="shared" si="35"/>
        <v>0.08</v>
      </c>
      <c r="D167" s="7">
        <f t="shared" si="41"/>
        <v>83227.403623600752</v>
      </c>
      <c r="E167" s="7">
        <f t="shared" si="36"/>
        <v>4161.3701811800374</v>
      </c>
      <c r="F167" s="7" t="str">
        <f t="shared" si="42"/>
        <v/>
      </c>
      <c r="G167" s="7">
        <f t="shared" si="37"/>
        <v>2080.6850905900187</v>
      </c>
      <c r="H167" s="7">
        <f t="shared" si="38"/>
        <v>0</v>
      </c>
      <c r="I167" s="7">
        <f t="shared" si="39"/>
        <v>0</v>
      </c>
      <c r="J167" s="8">
        <f t="shared" si="40"/>
        <v>60659.76197722205</v>
      </c>
      <c r="K167" s="8">
        <f t="shared" si="43"/>
        <v>825148.84196426708</v>
      </c>
    </row>
    <row r="168" spans="1:11" x14ac:dyDescent="0.2">
      <c r="A168" s="4">
        <f t="shared" si="33"/>
        <v>39</v>
      </c>
      <c r="B168" s="4">
        <f t="shared" si="34"/>
        <v>63</v>
      </c>
      <c r="C168" s="5">
        <f t="shared" si="35"/>
        <v>0.08</v>
      </c>
      <c r="D168" s="7">
        <f t="shared" si="41"/>
        <v>84891.951696072763</v>
      </c>
      <c r="E168" s="7">
        <f t="shared" si="36"/>
        <v>4244.5975848036387</v>
      </c>
      <c r="F168" s="7" t="str">
        <f t="shared" si="42"/>
        <v/>
      </c>
      <c r="G168" s="7">
        <f t="shared" si="37"/>
        <v>2122.2987924018194</v>
      </c>
      <c r="H168" s="7">
        <f t="shared" si="38"/>
        <v>0</v>
      </c>
      <c r="I168" s="7">
        <f t="shared" si="39"/>
        <v>0</v>
      </c>
      <c r="J168" s="8">
        <f t="shared" si="40"/>
        <v>66011.907357141492</v>
      </c>
      <c r="K168" s="8">
        <f t="shared" si="43"/>
        <v>897527.64569861395</v>
      </c>
    </row>
    <row r="169" spans="1:11" x14ac:dyDescent="0.2">
      <c r="A169" s="4">
        <f t="shared" si="33"/>
        <v>40</v>
      </c>
      <c r="B169" s="4">
        <f t="shared" si="34"/>
        <v>64</v>
      </c>
      <c r="C169" s="5">
        <f t="shared" si="35"/>
        <v>0.08</v>
      </c>
      <c r="D169" s="7">
        <f t="shared" si="41"/>
        <v>86589.790729994216</v>
      </c>
      <c r="E169" s="7">
        <f t="shared" si="36"/>
        <v>4329.489536499711</v>
      </c>
      <c r="F169" s="7" t="str">
        <f t="shared" si="42"/>
        <v/>
      </c>
      <c r="G169" s="7">
        <f t="shared" si="37"/>
        <v>2164.7447682498555</v>
      </c>
      <c r="H169" s="7">
        <f t="shared" si="38"/>
        <v>0</v>
      </c>
      <c r="I169" s="7">
        <f t="shared" si="39"/>
        <v>0</v>
      </c>
      <c r="J169" s="8">
        <f t="shared" si="40"/>
        <v>71802.211655889172</v>
      </c>
      <c r="K169" s="8">
        <f t="shared" si="43"/>
        <v>975824.09165925265</v>
      </c>
    </row>
    <row r="170" spans="1:11" x14ac:dyDescent="0.2">
      <c r="A170" s="4">
        <f t="shared" si="33"/>
        <v>41</v>
      </c>
      <c r="B170" s="4">
        <f t="shared" si="34"/>
        <v>65</v>
      </c>
      <c r="C170" s="5">
        <f t="shared" si="35"/>
        <v>0.03</v>
      </c>
      <c r="D170" s="7">
        <f t="shared" si="41"/>
        <v>39144.453503988865</v>
      </c>
      <c r="E170" s="7">
        <f t="shared" si="36"/>
        <v>0</v>
      </c>
      <c r="F170" s="7" t="str">
        <f t="shared" si="42"/>
        <v/>
      </c>
      <c r="G170" s="7">
        <f t="shared" si="37"/>
        <v>0</v>
      </c>
      <c r="H170" s="7">
        <f t="shared" si="38"/>
        <v>0</v>
      </c>
      <c r="I170" s="7">
        <f t="shared" si="39"/>
        <v>39144.453503988865</v>
      </c>
      <c r="J170" s="8">
        <f t="shared" si="40"/>
        <v>28100.389144657995</v>
      </c>
      <c r="K170" s="8">
        <f t="shared" si="43"/>
        <v>964780.02729992173</v>
      </c>
    </row>
    <row r="171" spans="1:11" x14ac:dyDescent="0.2">
      <c r="A171" s="4">
        <f t="shared" si="33"/>
        <v>42</v>
      </c>
      <c r="B171" s="4">
        <f t="shared" si="34"/>
        <v>66</v>
      </c>
      <c r="C171" s="5">
        <f t="shared" si="35"/>
        <v>0.03</v>
      </c>
      <c r="D171" s="7">
        <f t="shared" si="41"/>
        <v>40318.787109108533</v>
      </c>
      <c r="E171" s="7">
        <f t="shared" si="36"/>
        <v>0</v>
      </c>
      <c r="F171" s="7" t="str">
        <f t="shared" si="42"/>
        <v/>
      </c>
      <c r="G171" s="7">
        <f t="shared" si="37"/>
        <v>0</v>
      </c>
      <c r="H171" s="7">
        <f t="shared" si="38"/>
        <v>0</v>
      </c>
      <c r="I171" s="7">
        <f t="shared" si="39"/>
        <v>40318.787109108533</v>
      </c>
      <c r="J171" s="8">
        <f t="shared" si="40"/>
        <v>27733.837205724441</v>
      </c>
      <c r="K171" s="8">
        <f t="shared" si="43"/>
        <v>952195.07739653764</v>
      </c>
    </row>
    <row r="172" spans="1:11" x14ac:dyDescent="0.2">
      <c r="A172" s="4">
        <f t="shared" si="33"/>
        <v>43</v>
      </c>
      <c r="B172" s="4">
        <f t="shared" si="34"/>
        <v>67</v>
      </c>
      <c r="C172" s="5">
        <f t="shared" si="35"/>
        <v>0.03</v>
      </c>
      <c r="D172" s="7">
        <f t="shared" si="41"/>
        <v>41528.350722381787</v>
      </c>
      <c r="E172" s="7">
        <f t="shared" si="36"/>
        <v>0</v>
      </c>
      <c r="F172" s="7" t="str">
        <f t="shared" si="42"/>
        <v/>
      </c>
      <c r="G172" s="7">
        <f t="shared" si="37"/>
        <v>0</v>
      </c>
      <c r="H172" s="7">
        <f t="shared" si="38"/>
        <v>0</v>
      </c>
      <c r="I172" s="7">
        <f t="shared" si="39"/>
        <v>41528.350722381787</v>
      </c>
      <c r="J172" s="8">
        <f t="shared" si="40"/>
        <v>27320.001800224651</v>
      </c>
      <c r="K172" s="8">
        <f t="shared" si="43"/>
        <v>937986.72847438045</v>
      </c>
    </row>
    <row r="173" spans="1:11" x14ac:dyDescent="0.2">
      <c r="A173" s="4">
        <f t="shared" si="33"/>
        <v>44</v>
      </c>
      <c r="B173" s="4">
        <f t="shared" si="34"/>
        <v>68</v>
      </c>
      <c r="C173" s="5">
        <f t="shared" si="35"/>
        <v>0.03</v>
      </c>
      <c r="D173" s="7">
        <f t="shared" si="41"/>
        <v>42774.201244053242</v>
      </c>
      <c r="E173" s="7">
        <f t="shared" si="36"/>
        <v>0</v>
      </c>
      <c r="F173" s="7" t="str">
        <f t="shared" si="42"/>
        <v/>
      </c>
      <c r="G173" s="7">
        <f t="shared" si="37"/>
        <v>0</v>
      </c>
      <c r="H173" s="7">
        <f t="shared" si="38"/>
        <v>0</v>
      </c>
      <c r="I173" s="7">
        <f t="shared" si="39"/>
        <v>42774.201244053242</v>
      </c>
      <c r="J173" s="8">
        <f t="shared" si="40"/>
        <v>26856.375816909829</v>
      </c>
      <c r="K173" s="8">
        <f t="shared" si="43"/>
        <v>922068.90304723708</v>
      </c>
    </row>
    <row r="174" spans="1:11" x14ac:dyDescent="0.2">
      <c r="A174" s="4">
        <f t="shared" si="33"/>
        <v>45</v>
      </c>
      <c r="B174" s="4">
        <f t="shared" si="34"/>
        <v>69</v>
      </c>
      <c r="C174" s="5">
        <f t="shared" si="35"/>
        <v>0.03</v>
      </c>
      <c r="D174" s="7">
        <f t="shared" si="41"/>
        <v>44057.427281374832</v>
      </c>
      <c r="E174" s="7">
        <f t="shared" si="36"/>
        <v>0</v>
      </c>
      <c r="F174" s="7" t="str">
        <f t="shared" si="42"/>
        <v/>
      </c>
      <c r="G174" s="7">
        <f t="shared" si="37"/>
        <v>0</v>
      </c>
      <c r="H174" s="7">
        <f t="shared" si="38"/>
        <v>0</v>
      </c>
      <c r="I174" s="7">
        <f t="shared" si="39"/>
        <v>44057.427281374832</v>
      </c>
      <c r="J174" s="8">
        <f t="shared" si="40"/>
        <v>26340.344272975926</v>
      </c>
      <c r="K174" s="8">
        <f t="shared" si="43"/>
        <v>904351.8200388382</v>
      </c>
    </row>
    <row r="175" spans="1:11" x14ac:dyDescent="0.2">
      <c r="A175" s="4">
        <f t="shared" si="33"/>
        <v>46</v>
      </c>
      <c r="B175" s="4">
        <f t="shared" si="34"/>
        <v>70</v>
      </c>
      <c r="C175" s="5">
        <f t="shared" si="35"/>
        <v>0.03</v>
      </c>
      <c r="D175" s="7">
        <f t="shared" si="41"/>
        <v>45379.150099816077</v>
      </c>
      <c r="E175" s="7">
        <f t="shared" si="36"/>
        <v>0</v>
      </c>
      <c r="F175" s="7" t="str">
        <f t="shared" si="42"/>
        <v/>
      </c>
      <c r="G175" s="7">
        <f t="shared" si="37"/>
        <v>0</v>
      </c>
      <c r="H175" s="7">
        <f t="shared" si="38"/>
        <v>0</v>
      </c>
      <c r="I175" s="7">
        <f t="shared" si="39"/>
        <v>45379.150099816077</v>
      </c>
      <c r="J175" s="8">
        <f t="shared" si="40"/>
        <v>25769.180098170647</v>
      </c>
      <c r="K175" s="8">
        <f t="shared" si="43"/>
        <v>884741.85003719281</v>
      </c>
    </row>
    <row r="176" spans="1:11" x14ac:dyDescent="0.2">
      <c r="A176" s="4">
        <f t="shared" si="33"/>
        <v>47</v>
      </c>
      <c r="B176" s="4">
        <f t="shared" si="34"/>
        <v>71</v>
      </c>
      <c r="C176" s="5">
        <f t="shared" si="35"/>
        <v>0.03</v>
      </c>
      <c r="D176" s="7">
        <f t="shared" si="41"/>
        <v>46740.524602810561</v>
      </c>
      <c r="E176" s="7">
        <f t="shared" si="36"/>
        <v>0</v>
      </c>
      <c r="F176" s="7" t="str">
        <f t="shared" si="42"/>
        <v/>
      </c>
      <c r="G176" s="7">
        <f t="shared" si="37"/>
        <v>0</v>
      </c>
      <c r="H176" s="7">
        <f t="shared" si="38"/>
        <v>0</v>
      </c>
      <c r="I176" s="7">
        <f t="shared" si="39"/>
        <v>46740.524602810561</v>
      </c>
      <c r="J176" s="8">
        <f t="shared" si="40"/>
        <v>25140.039763031527</v>
      </c>
      <c r="K176" s="8">
        <f t="shared" si="43"/>
        <v>863141.36519741383</v>
      </c>
    </row>
    <row r="177" spans="1:11" x14ac:dyDescent="0.2">
      <c r="A177" s="4">
        <f t="shared" si="33"/>
        <v>48</v>
      </c>
      <c r="B177" s="4">
        <f t="shared" si="34"/>
        <v>72</v>
      </c>
      <c r="C177" s="5">
        <f t="shared" si="35"/>
        <v>0.03</v>
      </c>
      <c r="D177" s="7">
        <f t="shared" si="41"/>
        <v>48142.740340894881</v>
      </c>
      <c r="E177" s="7">
        <f t="shared" si="36"/>
        <v>0</v>
      </c>
      <c r="F177" s="7" t="str">
        <f t="shared" si="42"/>
        <v/>
      </c>
      <c r="G177" s="7">
        <f t="shared" si="37"/>
        <v>0</v>
      </c>
      <c r="H177" s="7">
        <f t="shared" si="38"/>
        <v>0</v>
      </c>
      <c r="I177" s="7">
        <f t="shared" si="39"/>
        <v>48142.740340894881</v>
      </c>
      <c r="J177" s="8">
        <f t="shared" si="40"/>
        <v>24449.958745695534</v>
      </c>
      <c r="K177" s="8">
        <f t="shared" si="43"/>
        <v>839448.58360221446</v>
      </c>
    </row>
    <row r="178" spans="1:11" x14ac:dyDescent="0.2">
      <c r="A178" s="4">
        <f t="shared" si="33"/>
        <v>49</v>
      </c>
      <c r="B178" s="4">
        <f t="shared" si="34"/>
        <v>73</v>
      </c>
      <c r="C178" s="5">
        <f t="shared" si="35"/>
        <v>0.03</v>
      </c>
      <c r="D178" s="7">
        <f t="shared" si="41"/>
        <v>49587.022551121721</v>
      </c>
      <c r="E178" s="7">
        <f t="shared" si="36"/>
        <v>0</v>
      </c>
      <c r="F178" s="7" t="str">
        <f t="shared" si="42"/>
        <v/>
      </c>
      <c r="G178" s="7">
        <f t="shared" si="37"/>
        <v>0</v>
      </c>
      <c r="H178" s="7">
        <f t="shared" si="38"/>
        <v>0</v>
      </c>
      <c r="I178" s="7">
        <f t="shared" si="39"/>
        <v>49587.022551121721</v>
      </c>
      <c r="J178" s="8">
        <f t="shared" si="40"/>
        <v>23695.846831532777</v>
      </c>
      <c r="K178" s="8">
        <f t="shared" si="43"/>
        <v>813557.40788262547</v>
      </c>
    </row>
    <row r="179" spans="1:11" x14ac:dyDescent="0.2">
      <c r="A179" s="4">
        <f t="shared" si="33"/>
        <v>50</v>
      </c>
      <c r="B179" s="4">
        <f t="shared" si="34"/>
        <v>74</v>
      </c>
      <c r="C179" s="5">
        <f t="shared" si="35"/>
        <v>0.03</v>
      </c>
      <c r="D179" s="7">
        <f t="shared" si="41"/>
        <v>51074.633227655373</v>
      </c>
      <c r="E179" s="7">
        <f t="shared" si="36"/>
        <v>0</v>
      </c>
      <c r="F179" s="7" t="str">
        <f t="shared" si="42"/>
        <v/>
      </c>
      <c r="G179" s="7">
        <f t="shared" si="37"/>
        <v>0</v>
      </c>
      <c r="H179" s="7">
        <f t="shared" si="38"/>
        <v>0</v>
      </c>
      <c r="I179" s="7">
        <f t="shared" si="39"/>
        <v>51074.633227655373</v>
      </c>
      <c r="J179" s="8">
        <f t="shared" si="40"/>
        <v>22874.483239649097</v>
      </c>
      <c r="K179" s="8">
        <f t="shared" si="43"/>
        <v>785357.25789461914</v>
      </c>
    </row>
    <row r="180" spans="1:11" x14ac:dyDescent="0.2">
      <c r="A180" s="4">
        <f t="shared" si="33"/>
        <v>51</v>
      </c>
      <c r="B180" s="4">
        <f t="shared" si="34"/>
        <v>75</v>
      </c>
      <c r="C180" s="5">
        <f t="shared" si="35"/>
        <v>0.03</v>
      </c>
      <c r="D180" s="7">
        <f t="shared" si="41"/>
        <v>52606.872224485036</v>
      </c>
      <c r="E180" s="7">
        <f t="shared" si="36"/>
        <v>0</v>
      </c>
      <c r="F180" s="7" t="str">
        <f t="shared" si="42"/>
        <v/>
      </c>
      <c r="G180" s="7">
        <f t="shared" si="37"/>
        <v>0</v>
      </c>
      <c r="H180" s="7">
        <f t="shared" si="38"/>
        <v>0</v>
      </c>
      <c r="I180" s="7">
        <f t="shared" si="39"/>
        <v>52606.872224485036</v>
      </c>
      <c r="J180" s="8">
        <f t="shared" si="40"/>
        <v>21982.511570104049</v>
      </c>
      <c r="K180" s="8">
        <f t="shared" si="43"/>
        <v>754732.89724023815</v>
      </c>
    </row>
    <row r="181" spans="1:11" x14ac:dyDescent="0.2">
      <c r="A181" s="4">
        <f t="shared" si="33"/>
        <v>52</v>
      </c>
      <c r="B181" s="4">
        <f t="shared" si="34"/>
        <v>76</v>
      </c>
      <c r="C181" s="5">
        <f t="shared" si="35"/>
        <v>0.03</v>
      </c>
      <c r="D181" s="7">
        <f t="shared" si="41"/>
        <v>54185.078391219591</v>
      </c>
      <c r="E181" s="7">
        <f t="shared" si="36"/>
        <v>0</v>
      </c>
      <c r="F181" s="7" t="str">
        <f t="shared" si="42"/>
        <v/>
      </c>
      <c r="G181" s="7">
        <f t="shared" si="37"/>
        <v>0</v>
      </c>
      <c r="H181" s="7">
        <f t="shared" si="38"/>
        <v>0</v>
      </c>
      <c r="I181" s="7">
        <f t="shared" si="39"/>
        <v>54185.078391219591</v>
      </c>
      <c r="J181" s="8">
        <f t="shared" si="40"/>
        <v>21016.434565470554</v>
      </c>
      <c r="K181" s="8">
        <f t="shared" si="43"/>
        <v>721564.2534144891</v>
      </c>
    </row>
    <row r="182" spans="1:11" x14ac:dyDescent="0.2">
      <c r="A182" s="4">
        <f t="shared" si="33"/>
        <v>53</v>
      </c>
      <c r="B182" s="4">
        <f t="shared" si="34"/>
        <v>77</v>
      </c>
      <c r="C182" s="5">
        <f t="shared" si="35"/>
        <v>0.03</v>
      </c>
      <c r="D182" s="7">
        <f t="shared" si="41"/>
        <v>55810.630742956171</v>
      </c>
      <c r="E182" s="7">
        <f t="shared" si="36"/>
        <v>0</v>
      </c>
      <c r="F182" s="7" t="str">
        <f t="shared" si="42"/>
        <v/>
      </c>
      <c r="G182" s="7">
        <f t="shared" si="37"/>
        <v>0</v>
      </c>
      <c r="H182" s="7">
        <f t="shared" si="38"/>
        <v>0</v>
      </c>
      <c r="I182" s="7">
        <f t="shared" si="39"/>
        <v>55810.630742956171</v>
      </c>
      <c r="J182" s="8">
        <f t="shared" si="40"/>
        <v>19972.608680146048</v>
      </c>
      <c r="K182" s="8">
        <f t="shared" si="43"/>
        <v>685726.23135167896</v>
      </c>
    </row>
    <row r="183" spans="1:11" x14ac:dyDescent="0.2">
      <c r="A183" s="4">
        <f t="shared" si="33"/>
        <v>54</v>
      </c>
      <c r="B183" s="4">
        <f t="shared" si="34"/>
        <v>78</v>
      </c>
      <c r="C183" s="5">
        <f t="shared" si="35"/>
        <v>0.03</v>
      </c>
      <c r="D183" s="7">
        <f t="shared" si="41"/>
        <v>57484.949665244851</v>
      </c>
      <c r="E183" s="7">
        <f t="shared" si="36"/>
        <v>0</v>
      </c>
      <c r="F183" s="7" t="str">
        <f t="shared" si="42"/>
        <v/>
      </c>
      <c r="G183" s="7">
        <f t="shared" si="37"/>
        <v>0</v>
      </c>
      <c r="H183" s="7">
        <f t="shared" si="38"/>
        <v>0</v>
      </c>
      <c r="I183" s="7">
        <f t="shared" si="39"/>
        <v>57484.949665244851</v>
      </c>
      <c r="J183" s="8">
        <f t="shared" si="40"/>
        <v>18847.238450593082</v>
      </c>
      <c r="K183" s="8">
        <f t="shared" si="43"/>
        <v>647088.52013702714</v>
      </c>
    </row>
    <row r="184" spans="1:11" x14ac:dyDescent="0.2">
      <c r="A184" s="4">
        <f t="shared" si="33"/>
        <v>55</v>
      </c>
      <c r="B184" s="4">
        <f t="shared" si="34"/>
        <v>79</v>
      </c>
      <c r="C184" s="5">
        <f t="shared" si="35"/>
        <v>0.03</v>
      </c>
      <c r="D184" s="7">
        <f t="shared" si="41"/>
        <v>59209.4981552022</v>
      </c>
      <c r="E184" s="7">
        <f t="shared" si="36"/>
        <v>0</v>
      </c>
      <c r="F184" s="7" t="str">
        <f t="shared" si="42"/>
        <v/>
      </c>
      <c r="G184" s="7">
        <f t="shared" si="37"/>
        <v>0</v>
      </c>
      <c r="H184" s="7">
        <f t="shared" si="38"/>
        <v>0</v>
      </c>
      <c r="I184" s="7">
        <f t="shared" si="39"/>
        <v>59209.4981552022</v>
      </c>
      <c r="J184" s="8">
        <f t="shared" si="40"/>
        <v>17636.370659454726</v>
      </c>
      <c r="K184" s="8">
        <f t="shared" si="43"/>
        <v>605515.39264127961</v>
      </c>
    </row>
    <row r="185" spans="1:11" x14ac:dyDescent="0.2">
      <c r="A185" s="4">
        <f t="shared" si="33"/>
        <v>56</v>
      </c>
      <c r="B185" s="4">
        <f t="shared" si="34"/>
        <v>80</v>
      </c>
      <c r="C185" s="5">
        <f t="shared" si="35"/>
        <v>0.03</v>
      </c>
      <c r="D185" s="7">
        <f t="shared" si="41"/>
        <v>60985.783099858272</v>
      </c>
      <c r="E185" s="7">
        <f t="shared" si="36"/>
        <v>0</v>
      </c>
      <c r="F185" s="7" t="str">
        <f t="shared" si="42"/>
        <v/>
      </c>
      <c r="G185" s="7">
        <f t="shared" si="37"/>
        <v>0</v>
      </c>
      <c r="H185" s="7">
        <f t="shared" si="38"/>
        <v>0</v>
      </c>
      <c r="I185" s="7">
        <f t="shared" si="39"/>
        <v>60985.783099858272</v>
      </c>
      <c r="J185" s="8">
        <f t="shared" si="40"/>
        <v>16335.888286242611</v>
      </c>
      <c r="K185" s="8">
        <f t="shared" si="43"/>
        <v>560865.4978276639</v>
      </c>
    </row>
    <row r="186" spans="1:11" x14ac:dyDescent="0.2">
      <c r="A186" s="4">
        <f t="shared" si="33"/>
        <v>57</v>
      </c>
      <c r="B186" s="4">
        <f t="shared" si="34"/>
        <v>81</v>
      </c>
      <c r="C186" s="5">
        <f t="shared" si="35"/>
        <v>0.03</v>
      </c>
      <c r="D186" s="7">
        <f t="shared" si="41"/>
        <v>62815.356592854012</v>
      </c>
      <c r="E186" s="7">
        <f t="shared" si="36"/>
        <v>0</v>
      </c>
      <c r="F186" s="7" t="str">
        <f t="shared" si="42"/>
        <v/>
      </c>
      <c r="G186" s="7">
        <f t="shared" si="37"/>
        <v>0</v>
      </c>
      <c r="H186" s="7">
        <f t="shared" si="38"/>
        <v>0</v>
      </c>
      <c r="I186" s="7">
        <f t="shared" si="39"/>
        <v>62815.356592854012</v>
      </c>
      <c r="J186" s="8">
        <f t="shared" si="40"/>
        <v>14941.504237044312</v>
      </c>
      <c r="K186" s="8">
        <f t="shared" si="43"/>
        <v>512991.64547185414</v>
      </c>
    </row>
    <row r="187" spans="1:11" x14ac:dyDescent="0.2">
      <c r="A187" s="4">
        <f t="shared" si="33"/>
        <v>58</v>
      </c>
      <c r="B187" s="4">
        <f t="shared" si="34"/>
        <v>82</v>
      </c>
      <c r="C187" s="5">
        <f t="shared" si="35"/>
        <v>0.03</v>
      </c>
      <c r="D187" s="7">
        <f t="shared" si="41"/>
        <v>64699.817290639628</v>
      </c>
      <c r="E187" s="7">
        <f t="shared" si="36"/>
        <v>0</v>
      </c>
      <c r="F187" s="7" t="str">
        <f t="shared" si="42"/>
        <v/>
      </c>
      <c r="G187" s="7">
        <f t="shared" si="37"/>
        <v>0</v>
      </c>
      <c r="H187" s="7">
        <f t="shared" si="38"/>
        <v>0</v>
      </c>
      <c r="I187" s="7">
        <f t="shared" si="39"/>
        <v>64699.817290639628</v>
      </c>
      <c r="J187" s="8">
        <f t="shared" si="40"/>
        <v>13448.75484543643</v>
      </c>
      <c r="K187" s="8">
        <f t="shared" si="43"/>
        <v>461740.58302665094</v>
      </c>
    </row>
    <row r="188" spans="1:11" x14ac:dyDescent="0.2">
      <c r="A188" s="4">
        <f t="shared" si="33"/>
        <v>59</v>
      </c>
      <c r="B188" s="4">
        <f t="shared" si="34"/>
        <v>83</v>
      </c>
      <c r="C188" s="5">
        <f t="shared" si="35"/>
        <v>0.03</v>
      </c>
      <c r="D188" s="7">
        <f t="shared" si="41"/>
        <v>66640.811809358827</v>
      </c>
      <c r="E188" s="7">
        <f t="shared" si="36"/>
        <v>0</v>
      </c>
      <c r="F188" s="7" t="str">
        <f t="shared" si="42"/>
        <v/>
      </c>
      <c r="G188" s="7">
        <f t="shared" si="37"/>
        <v>0</v>
      </c>
      <c r="H188" s="7">
        <f t="shared" si="38"/>
        <v>0</v>
      </c>
      <c r="I188" s="7">
        <f t="shared" si="39"/>
        <v>66640.811809358827</v>
      </c>
      <c r="J188" s="8">
        <f t="shared" si="40"/>
        <v>11852.993136518751</v>
      </c>
      <c r="K188" s="8">
        <f t="shared" si="43"/>
        <v>406952.76435381087</v>
      </c>
    </row>
    <row r="189" spans="1:11" x14ac:dyDescent="0.2">
      <c r="A189" s="4">
        <f t="shared" si="33"/>
        <v>60</v>
      </c>
      <c r="B189" s="4">
        <f t="shared" si="34"/>
        <v>84</v>
      </c>
      <c r="C189" s="5">
        <f t="shared" si="35"/>
        <v>0.03</v>
      </c>
      <c r="D189" s="7">
        <f t="shared" si="41"/>
        <v>68640.036163639583</v>
      </c>
      <c r="E189" s="7">
        <f t="shared" si="36"/>
        <v>0</v>
      </c>
      <c r="F189" s="7" t="str">
        <f t="shared" si="42"/>
        <v/>
      </c>
      <c r="G189" s="7">
        <f t="shared" si="37"/>
        <v>0</v>
      </c>
      <c r="H189" s="7">
        <f t="shared" si="38"/>
        <v>0</v>
      </c>
      <c r="I189" s="7">
        <f t="shared" si="39"/>
        <v>68640.036163639583</v>
      </c>
      <c r="J189" s="8">
        <f t="shared" si="40"/>
        <v>10149.381845705153</v>
      </c>
      <c r="K189" s="8">
        <f t="shared" si="43"/>
        <v>348462.11003587645</v>
      </c>
    </row>
    <row r="190" spans="1:11" x14ac:dyDescent="0.2">
      <c r="A190" s="4">
        <f t="shared" si="33"/>
        <v>61</v>
      </c>
      <c r="B190" s="4">
        <f t="shared" si="34"/>
        <v>85</v>
      </c>
      <c r="C190" s="5">
        <f t="shared" si="35"/>
        <v>0.03</v>
      </c>
      <c r="D190" s="7">
        <f t="shared" si="41"/>
        <v>70699.237248548772</v>
      </c>
      <c r="E190" s="7">
        <f t="shared" si="36"/>
        <v>0</v>
      </c>
      <c r="F190" s="7" t="str">
        <f t="shared" si="42"/>
        <v/>
      </c>
      <c r="G190" s="7">
        <f t="shared" si="37"/>
        <v>0</v>
      </c>
      <c r="H190" s="7">
        <f t="shared" si="38"/>
        <v>0</v>
      </c>
      <c r="I190" s="7">
        <f t="shared" si="39"/>
        <v>70699.237248548772</v>
      </c>
      <c r="J190" s="8">
        <f t="shared" si="40"/>
        <v>8332.8861836198485</v>
      </c>
      <c r="K190" s="8">
        <f t="shared" si="43"/>
        <v>286095.75897094753</v>
      </c>
    </row>
    <row r="191" spans="1:11" x14ac:dyDescent="0.2">
      <c r="A191" s="4">
        <f t="shared" si="33"/>
        <v>62</v>
      </c>
      <c r="B191" s="4">
        <f t="shared" si="34"/>
        <v>86</v>
      </c>
      <c r="C191" s="5">
        <f t="shared" si="35"/>
        <v>0.03</v>
      </c>
      <c r="D191" s="7">
        <f t="shared" si="41"/>
        <v>72820.214366005224</v>
      </c>
      <c r="E191" s="7">
        <f t="shared" si="36"/>
        <v>0</v>
      </c>
      <c r="F191" s="7" t="str">
        <f t="shared" si="42"/>
        <v/>
      </c>
      <c r="G191" s="7">
        <f t="shared" si="37"/>
        <v>0</v>
      </c>
      <c r="H191" s="7">
        <f t="shared" si="38"/>
        <v>0</v>
      </c>
      <c r="I191" s="7">
        <f t="shared" si="39"/>
        <v>72820.214366005224</v>
      </c>
      <c r="J191" s="8">
        <f t="shared" si="40"/>
        <v>6398.2663381482707</v>
      </c>
      <c r="K191" s="8">
        <f t="shared" si="43"/>
        <v>219673.81094309059</v>
      </c>
    </row>
    <row r="192" spans="1:11" x14ac:dyDescent="0.2">
      <c r="A192" s="4">
        <f t="shared" si="33"/>
        <v>63</v>
      </c>
      <c r="B192" s="4">
        <f t="shared" si="34"/>
        <v>87</v>
      </c>
      <c r="C192" s="5">
        <f t="shared" si="35"/>
        <v>0.03</v>
      </c>
      <c r="D192" s="7">
        <f t="shared" si="41"/>
        <v>75004.820796985383</v>
      </c>
      <c r="E192" s="7">
        <f t="shared" si="36"/>
        <v>0</v>
      </c>
      <c r="F192" s="7" t="str">
        <f t="shared" si="42"/>
        <v/>
      </c>
      <c r="G192" s="7">
        <f t="shared" si="37"/>
        <v>0</v>
      </c>
      <c r="H192" s="7">
        <f t="shared" si="38"/>
        <v>0</v>
      </c>
      <c r="I192" s="7">
        <f t="shared" si="39"/>
        <v>75004.820796985383</v>
      </c>
      <c r="J192" s="8">
        <f t="shared" si="40"/>
        <v>4340.069704383146</v>
      </c>
      <c r="K192" s="8">
        <f t="shared" si="43"/>
        <v>149009.05985048835</v>
      </c>
    </row>
    <row r="193" spans="1:11" x14ac:dyDescent="0.2">
      <c r="A193" s="4">
        <f t="shared" si="33"/>
        <v>64</v>
      </c>
      <c r="B193" s="4">
        <f t="shared" si="34"/>
        <v>88</v>
      </c>
      <c r="C193" s="5">
        <f t="shared" si="35"/>
        <v>0.03</v>
      </c>
      <c r="D193" s="7">
        <f t="shared" si="41"/>
        <v>77254.965420894951</v>
      </c>
      <c r="E193" s="7">
        <f t="shared" si="36"/>
        <v>0</v>
      </c>
      <c r="F193" s="7" t="str">
        <f t="shared" si="42"/>
        <v/>
      </c>
      <c r="G193" s="7">
        <f t="shared" si="37"/>
        <v>0</v>
      </c>
      <c r="H193" s="7">
        <f t="shared" si="38"/>
        <v>0</v>
      </c>
      <c r="I193" s="7">
        <f t="shared" si="39"/>
        <v>77254.965420894951</v>
      </c>
      <c r="J193" s="8">
        <f t="shared" si="40"/>
        <v>2152.622832887806</v>
      </c>
      <c r="K193" s="8">
        <f t="shared" si="43"/>
        <v>73906.717262481208</v>
      </c>
    </row>
    <row r="194" spans="1:11" x14ac:dyDescent="0.2">
      <c r="A194" s="4">
        <f t="shared" si="33"/>
        <v>65</v>
      </c>
      <c r="B194" s="4">
        <f t="shared" si="34"/>
        <v>89</v>
      </c>
      <c r="C194" s="5">
        <f t="shared" si="35"/>
        <v>0.03</v>
      </c>
      <c r="D194" s="7">
        <f t="shared" si="41"/>
        <v>79572.614383521795</v>
      </c>
      <c r="E194" s="7">
        <f t="shared" si="36"/>
        <v>0</v>
      </c>
      <c r="F194" s="7" t="str">
        <f t="shared" ref="F194:F204" si="44">IF(ISERROR(A194),NA(),"")</f>
        <v/>
      </c>
      <c r="G194" s="7">
        <f t="shared" si="37"/>
        <v>0</v>
      </c>
      <c r="H194" s="7">
        <f t="shared" si="38"/>
        <v>0</v>
      </c>
      <c r="I194" s="7">
        <f t="shared" si="39"/>
        <v>79572.614383521795</v>
      </c>
      <c r="J194" s="8">
        <f t="shared" si="40"/>
        <v>-169.97691363121794</v>
      </c>
      <c r="K194" s="8">
        <f t="shared" ref="K194:K204" si="45">IF(ISERROR(A194),NA(),K193+E194+G194+J194-I194)</f>
        <v>-5835.8740346718114</v>
      </c>
    </row>
    <row r="195" spans="1:11" x14ac:dyDescent="0.2">
      <c r="A195" s="4" t="e">
        <f t="shared" ref="A195:A204" si="46">IF(OR(K194&lt;0,A194&gt;=($E$10-$E$9)+$E$11),NA(),A194+1)</f>
        <v>#N/A</v>
      </c>
      <c r="B195" s="4" t="e">
        <f t="shared" ref="B195:B204" si="47">IF(ISERROR(A195),NA(),$E$9+A195-1)</f>
        <v>#N/A</v>
      </c>
      <c r="C195" s="5" t="e">
        <f t="shared" ref="C195:C204" si="48">IF(ISERROR(A195),NA(),IF(B195&lt;$E$10,$E$15,$E$16))</f>
        <v>#N/A</v>
      </c>
      <c r="D195" s="7" t="e">
        <f t="shared" si="41"/>
        <v>#N/A</v>
      </c>
      <c r="E195" s="7" t="e">
        <f t="shared" ref="E195:E204" si="49">IF(ISERROR(A195),NA(),IF(B195=$E$10-1,$K$26)+IF(A195&lt;=$E$12,$E$24*D195,0))</f>
        <v>#N/A</v>
      </c>
      <c r="F195" s="7" t="e">
        <f t="shared" si="44"/>
        <v>#N/A</v>
      </c>
      <c r="G195" s="7" t="e">
        <f t="shared" ref="G195:G204" si="50">IF(ISERROR(A195),NA(),IF(A195&lt;=$E$12,MIN($E$25*E195,$E$26*$E$25*D195),0))</f>
        <v>#N/A</v>
      </c>
      <c r="H195" s="7" t="e">
        <f t="shared" ref="H195:H204" si="51">IF(ISERROR(A195),NA(),IF(ISERROR(B195),0,IF(AND(B195&gt;=$K$19,B195&lt;($K$19+$K$22)),$K$20*(1+$K$21)^(B195-$K$19),0)))</f>
        <v>#N/A</v>
      </c>
      <c r="I195" s="7" t="e">
        <f t="shared" ref="I195:I204" si="52">IF(ISERROR(A195),NA(),IF(B195&gt;=$E$10,D195-H195,0))</f>
        <v>#N/A</v>
      </c>
      <c r="J195" s="8" t="e">
        <f t="shared" ref="J195:J204" si="53">IF(ISERROR(A195),NA(),FV(C195/$E$43,$E$43,-(E195+G195)/$E$43,-(K194-I195*$E$44),0)-(K194+E195+G195-I195*$E$44))</f>
        <v>#N/A</v>
      </c>
      <c r="K195" s="8" t="e">
        <f t="shared" si="45"/>
        <v>#N/A</v>
      </c>
    </row>
    <row r="196" spans="1:11" x14ac:dyDescent="0.2">
      <c r="A196" s="4" t="e">
        <f t="shared" si="46"/>
        <v>#N/A</v>
      </c>
      <c r="B196" s="4" t="e">
        <f t="shared" si="47"/>
        <v>#N/A</v>
      </c>
      <c r="C196" s="5" t="e">
        <f t="shared" si="48"/>
        <v>#N/A</v>
      </c>
      <c r="D196" s="7" t="e">
        <f t="shared" ref="D196:D204" si="54">IF(ISERROR(A196),NA(),IF(B196&gt;=$E$10,$K$10*(1+$E$17)^(B196-$E$10),(1+$E$21)*D195))</f>
        <v>#N/A</v>
      </c>
      <c r="E196" s="7" t="e">
        <f t="shared" si="49"/>
        <v>#N/A</v>
      </c>
      <c r="F196" s="7" t="e">
        <f t="shared" si="44"/>
        <v>#N/A</v>
      </c>
      <c r="G196" s="7" t="e">
        <f t="shared" si="50"/>
        <v>#N/A</v>
      </c>
      <c r="H196" s="7" t="e">
        <f t="shared" si="51"/>
        <v>#N/A</v>
      </c>
      <c r="I196" s="7" t="e">
        <f t="shared" si="52"/>
        <v>#N/A</v>
      </c>
      <c r="J196" s="8" t="e">
        <f t="shared" si="53"/>
        <v>#N/A</v>
      </c>
      <c r="K196" s="8" t="e">
        <f t="shared" si="45"/>
        <v>#N/A</v>
      </c>
    </row>
    <row r="197" spans="1:11" x14ac:dyDescent="0.2">
      <c r="A197" s="4" t="e">
        <f t="shared" si="46"/>
        <v>#N/A</v>
      </c>
      <c r="B197" s="4" t="e">
        <f t="shared" si="47"/>
        <v>#N/A</v>
      </c>
      <c r="C197" s="5" t="e">
        <f t="shared" si="48"/>
        <v>#N/A</v>
      </c>
      <c r="D197" s="7" t="e">
        <f t="shared" si="54"/>
        <v>#N/A</v>
      </c>
      <c r="E197" s="7" t="e">
        <f t="shared" si="49"/>
        <v>#N/A</v>
      </c>
      <c r="F197" s="7" t="e">
        <f t="shared" si="44"/>
        <v>#N/A</v>
      </c>
      <c r="G197" s="7" t="e">
        <f t="shared" si="50"/>
        <v>#N/A</v>
      </c>
      <c r="H197" s="7" t="e">
        <f t="shared" si="51"/>
        <v>#N/A</v>
      </c>
      <c r="I197" s="7" t="e">
        <f t="shared" si="52"/>
        <v>#N/A</v>
      </c>
      <c r="J197" s="8" t="e">
        <f t="shared" si="53"/>
        <v>#N/A</v>
      </c>
      <c r="K197" s="8" t="e">
        <f t="shared" si="45"/>
        <v>#N/A</v>
      </c>
    </row>
    <row r="198" spans="1:11" x14ac:dyDescent="0.2">
      <c r="A198" s="4" t="e">
        <f t="shared" si="46"/>
        <v>#N/A</v>
      </c>
      <c r="B198" s="4" t="e">
        <f t="shared" si="47"/>
        <v>#N/A</v>
      </c>
      <c r="C198" s="5" t="e">
        <f t="shared" si="48"/>
        <v>#N/A</v>
      </c>
      <c r="D198" s="7" t="e">
        <f t="shared" si="54"/>
        <v>#N/A</v>
      </c>
      <c r="E198" s="7" t="e">
        <f t="shared" si="49"/>
        <v>#N/A</v>
      </c>
      <c r="F198" s="7" t="e">
        <f t="shared" si="44"/>
        <v>#N/A</v>
      </c>
      <c r="G198" s="7" t="e">
        <f t="shared" si="50"/>
        <v>#N/A</v>
      </c>
      <c r="H198" s="7" t="e">
        <f t="shared" si="51"/>
        <v>#N/A</v>
      </c>
      <c r="I198" s="7" t="e">
        <f t="shared" si="52"/>
        <v>#N/A</v>
      </c>
      <c r="J198" s="8" t="e">
        <f t="shared" si="53"/>
        <v>#N/A</v>
      </c>
      <c r="K198" s="8" t="e">
        <f t="shared" si="45"/>
        <v>#N/A</v>
      </c>
    </row>
    <row r="199" spans="1:11" x14ac:dyDescent="0.2">
      <c r="A199" s="4" t="e">
        <f t="shared" si="46"/>
        <v>#N/A</v>
      </c>
      <c r="B199" s="4" t="e">
        <f t="shared" si="47"/>
        <v>#N/A</v>
      </c>
      <c r="C199" s="5" t="e">
        <f t="shared" si="48"/>
        <v>#N/A</v>
      </c>
      <c r="D199" s="7" t="e">
        <f t="shared" si="54"/>
        <v>#N/A</v>
      </c>
      <c r="E199" s="7" t="e">
        <f t="shared" si="49"/>
        <v>#N/A</v>
      </c>
      <c r="F199" s="7" t="e">
        <f t="shared" si="44"/>
        <v>#N/A</v>
      </c>
      <c r="G199" s="7" t="e">
        <f t="shared" si="50"/>
        <v>#N/A</v>
      </c>
      <c r="H199" s="7" t="e">
        <f t="shared" si="51"/>
        <v>#N/A</v>
      </c>
      <c r="I199" s="7" t="e">
        <f t="shared" si="52"/>
        <v>#N/A</v>
      </c>
      <c r="J199" s="8" t="e">
        <f t="shared" si="53"/>
        <v>#N/A</v>
      </c>
      <c r="K199" s="8" t="e">
        <f t="shared" si="45"/>
        <v>#N/A</v>
      </c>
    </row>
    <row r="200" spans="1:11" x14ac:dyDescent="0.2">
      <c r="A200" s="4" t="e">
        <f t="shared" si="46"/>
        <v>#N/A</v>
      </c>
      <c r="B200" s="4" t="e">
        <f t="shared" si="47"/>
        <v>#N/A</v>
      </c>
      <c r="C200" s="5" t="e">
        <f t="shared" si="48"/>
        <v>#N/A</v>
      </c>
      <c r="D200" s="7" t="e">
        <f t="shared" si="54"/>
        <v>#N/A</v>
      </c>
      <c r="E200" s="7" t="e">
        <f t="shared" si="49"/>
        <v>#N/A</v>
      </c>
      <c r="F200" s="7" t="e">
        <f t="shared" si="44"/>
        <v>#N/A</v>
      </c>
      <c r="G200" s="7" t="e">
        <f t="shared" si="50"/>
        <v>#N/A</v>
      </c>
      <c r="H200" s="7" t="e">
        <f t="shared" si="51"/>
        <v>#N/A</v>
      </c>
      <c r="I200" s="7" t="e">
        <f t="shared" si="52"/>
        <v>#N/A</v>
      </c>
      <c r="J200" s="8" t="e">
        <f t="shared" si="53"/>
        <v>#N/A</v>
      </c>
      <c r="K200" s="8" t="e">
        <f t="shared" si="45"/>
        <v>#N/A</v>
      </c>
    </row>
    <row r="201" spans="1:11" x14ac:dyDescent="0.2">
      <c r="A201" s="4" t="e">
        <f t="shared" si="46"/>
        <v>#N/A</v>
      </c>
      <c r="B201" s="4" t="e">
        <f t="shared" si="47"/>
        <v>#N/A</v>
      </c>
      <c r="C201" s="5" t="e">
        <f t="shared" si="48"/>
        <v>#N/A</v>
      </c>
      <c r="D201" s="7" t="e">
        <f t="shared" si="54"/>
        <v>#N/A</v>
      </c>
      <c r="E201" s="7" t="e">
        <f t="shared" si="49"/>
        <v>#N/A</v>
      </c>
      <c r="F201" s="7" t="e">
        <f t="shared" si="44"/>
        <v>#N/A</v>
      </c>
      <c r="G201" s="7" t="e">
        <f t="shared" si="50"/>
        <v>#N/A</v>
      </c>
      <c r="H201" s="7" t="e">
        <f t="shared" si="51"/>
        <v>#N/A</v>
      </c>
      <c r="I201" s="7" t="e">
        <f t="shared" si="52"/>
        <v>#N/A</v>
      </c>
      <c r="J201" s="8" t="e">
        <f t="shared" si="53"/>
        <v>#N/A</v>
      </c>
      <c r="K201" s="8" t="e">
        <f t="shared" si="45"/>
        <v>#N/A</v>
      </c>
    </row>
    <row r="202" spans="1:11" x14ac:dyDescent="0.2">
      <c r="A202" s="4" t="e">
        <f t="shared" si="46"/>
        <v>#N/A</v>
      </c>
      <c r="B202" s="4" t="e">
        <f t="shared" si="47"/>
        <v>#N/A</v>
      </c>
      <c r="C202" s="5" t="e">
        <f t="shared" si="48"/>
        <v>#N/A</v>
      </c>
      <c r="D202" s="7" t="e">
        <f t="shared" si="54"/>
        <v>#N/A</v>
      </c>
      <c r="E202" s="7" t="e">
        <f t="shared" si="49"/>
        <v>#N/A</v>
      </c>
      <c r="F202" s="7" t="e">
        <f t="shared" si="44"/>
        <v>#N/A</v>
      </c>
      <c r="G202" s="7" t="e">
        <f t="shared" si="50"/>
        <v>#N/A</v>
      </c>
      <c r="H202" s="7" t="e">
        <f t="shared" si="51"/>
        <v>#N/A</v>
      </c>
      <c r="I202" s="7" t="e">
        <f t="shared" si="52"/>
        <v>#N/A</v>
      </c>
      <c r="J202" s="8" t="e">
        <f t="shared" si="53"/>
        <v>#N/A</v>
      </c>
      <c r="K202" s="8" t="e">
        <f t="shared" si="45"/>
        <v>#N/A</v>
      </c>
    </row>
    <row r="203" spans="1:11" x14ac:dyDescent="0.2">
      <c r="A203" s="4" t="e">
        <f t="shared" si="46"/>
        <v>#N/A</v>
      </c>
      <c r="B203" s="4" t="e">
        <f t="shared" si="47"/>
        <v>#N/A</v>
      </c>
      <c r="C203" s="5" t="e">
        <f t="shared" si="48"/>
        <v>#N/A</v>
      </c>
      <c r="D203" s="7" t="e">
        <f t="shared" si="54"/>
        <v>#N/A</v>
      </c>
      <c r="E203" s="7" t="e">
        <f t="shared" si="49"/>
        <v>#N/A</v>
      </c>
      <c r="F203" s="7" t="e">
        <f t="shared" si="44"/>
        <v>#N/A</v>
      </c>
      <c r="G203" s="7" t="e">
        <f t="shared" si="50"/>
        <v>#N/A</v>
      </c>
      <c r="H203" s="7" t="e">
        <f t="shared" si="51"/>
        <v>#N/A</v>
      </c>
      <c r="I203" s="7" t="e">
        <f t="shared" si="52"/>
        <v>#N/A</v>
      </c>
      <c r="J203" s="8" t="e">
        <f t="shared" si="53"/>
        <v>#N/A</v>
      </c>
      <c r="K203" s="8" t="e">
        <f t="shared" si="45"/>
        <v>#N/A</v>
      </c>
    </row>
    <row r="204" spans="1:11" x14ac:dyDescent="0.2">
      <c r="A204" s="4" t="e">
        <f t="shared" si="46"/>
        <v>#N/A</v>
      </c>
      <c r="B204" s="4" t="e">
        <f t="shared" si="47"/>
        <v>#N/A</v>
      </c>
      <c r="C204" s="5" t="e">
        <f t="shared" si="48"/>
        <v>#N/A</v>
      </c>
      <c r="D204" s="7" t="e">
        <f t="shared" si="54"/>
        <v>#N/A</v>
      </c>
      <c r="E204" s="7" t="e">
        <f t="shared" si="49"/>
        <v>#N/A</v>
      </c>
      <c r="F204" s="7" t="e">
        <f t="shared" si="44"/>
        <v>#N/A</v>
      </c>
      <c r="G204" s="7" t="e">
        <f t="shared" si="50"/>
        <v>#N/A</v>
      </c>
      <c r="H204" s="7" t="e">
        <f t="shared" si="51"/>
        <v>#N/A</v>
      </c>
      <c r="I204" s="7" t="e">
        <f t="shared" si="52"/>
        <v>#N/A</v>
      </c>
      <c r="J204" s="8" t="e">
        <f t="shared" si="53"/>
        <v>#N/A</v>
      </c>
      <c r="K204" s="8" t="e">
        <f t="shared" si="45"/>
        <v>#N/A</v>
      </c>
    </row>
    <row r="205" spans="1:11" x14ac:dyDescent="0.2">
      <c r="A205" s="69"/>
      <c r="B205" s="69"/>
      <c r="C205" s="69"/>
      <c r="D205" s="69"/>
      <c r="E205" s="69"/>
      <c r="F205" s="69"/>
      <c r="G205" s="69"/>
      <c r="H205" s="69"/>
      <c r="I205" s="69"/>
      <c r="J205" s="69"/>
      <c r="K205" s="69"/>
    </row>
  </sheetData>
  <mergeCells count="2">
    <mergeCell ref="B3:E3"/>
    <mergeCell ref="H3:I3"/>
  </mergeCells>
  <phoneticPr fontId="2" type="noConversion"/>
  <conditionalFormatting sqref="E15:E17">
    <cfRule type="expression" dxfId="5" priority="9" stopIfTrue="1">
      <formula>randrate</formula>
    </cfRule>
  </conditionalFormatting>
  <conditionalFormatting sqref="A49:K123 A130:K204">
    <cfRule type="expression" dxfId="4" priority="10" stopIfTrue="1">
      <formula>ISERROR(A49)</formula>
    </cfRule>
    <cfRule type="expression" dxfId="3" priority="11" stopIfTrue="1">
      <formula>MOD(ROW(),2)=1</formula>
    </cfRule>
  </conditionalFormatting>
  <conditionalFormatting sqref="K21">
    <cfRule type="expression" dxfId="2" priority="5" stopIfTrue="1">
      <formula>randrate</formula>
    </cfRule>
  </conditionalFormatting>
  <conditionalFormatting sqref="K22">
    <cfRule type="expression" dxfId="1" priority="2">
      <formula>($K$19+$K$22)&gt;$E$10+$E$11</formula>
    </cfRule>
  </conditionalFormatting>
  <conditionalFormatting sqref="K19">
    <cfRule type="cellIs" dxfId="0" priority="1" operator="lessThan">
      <formula>$E$10</formula>
    </cfRule>
  </conditionalFormatting>
  <dataValidations disablePrompts="1" count="2">
    <dataValidation type="list" allowBlank="1" showInputMessage="1" showErrorMessage="1" sqref="E43">
      <formula1>"12,24,26,52,13,4,2,1"</formula1>
    </dataValidation>
    <dataValidation type="list" allowBlank="1" showInputMessage="1" showErrorMessage="1" sqref="E44">
      <formula1>"0,1"</formula1>
    </dataValidation>
  </dataValidations>
  <hyperlinks>
    <hyperlink ref="M8" r:id="rId1" display="https://www.vertex42.com/Calculators/retirement-calculator.html"/>
    <hyperlink ref="M13" r:id="rId2"/>
  </hyperlinks>
  <printOptions horizontalCentered="1"/>
  <pageMargins left="0.5" right="0.5" top="0.5" bottom="0.5" header="0.5" footer="0.25"/>
  <pageSetup scale="93" fitToHeight="0" orientation="portrait" r:id="rId3"/>
  <headerFooter scaleWithDoc="0">
    <firstFooter>&amp;R&amp;"Arial,Regular"&amp;8Page &amp;P of &amp;N</firstFooter>
  </headerFooter>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showGridLines="0" workbookViewId="0">
      <selection activeCell="A3" sqref="A3"/>
    </sheetView>
  </sheetViews>
  <sheetFormatPr defaultColWidth="9.140625" defaultRowHeight="12.75" x14ac:dyDescent="0.2"/>
  <cols>
    <col min="1" max="1" width="10.28515625" style="61" customWidth="1"/>
    <col min="2" max="2" width="78.5703125" style="61" customWidth="1"/>
    <col min="3" max="3" width="5.28515625" style="61" customWidth="1"/>
    <col min="4" max="4" width="10.28515625" style="61" customWidth="1"/>
    <col min="5" max="16384" width="9.140625" style="61"/>
  </cols>
  <sheetData>
    <row r="1" spans="1:5" ht="31.5" customHeight="1" x14ac:dyDescent="0.2">
      <c r="A1" s="19" t="s">
        <v>11</v>
      </c>
      <c r="B1" s="20"/>
      <c r="C1" s="60"/>
    </row>
    <row r="2" spans="1:5" x14ac:dyDescent="0.2">
      <c r="A2" s="2" t="s">
        <v>98</v>
      </c>
      <c r="C2" s="22" t="s">
        <v>106</v>
      </c>
    </row>
    <row r="3" spans="1:5" x14ac:dyDescent="0.2">
      <c r="B3" s="62"/>
    </row>
    <row r="4" spans="1:5" ht="15" x14ac:dyDescent="0.25">
      <c r="A4" s="23" t="s">
        <v>22</v>
      </c>
      <c r="B4" s="24"/>
      <c r="C4" s="63"/>
    </row>
    <row r="5" spans="1:5" ht="42.75" x14ac:dyDescent="0.2">
      <c r="B5" s="25" t="s">
        <v>82</v>
      </c>
    </row>
    <row r="6" spans="1:5" ht="14.25" x14ac:dyDescent="0.2">
      <c r="B6" s="25"/>
    </row>
    <row r="7" spans="1:5" ht="57.75" x14ac:dyDescent="0.2">
      <c r="B7" s="25" t="s">
        <v>81</v>
      </c>
    </row>
    <row r="8" spans="1:5" ht="14.25" x14ac:dyDescent="0.2">
      <c r="B8" s="25"/>
    </row>
    <row r="9" spans="1:5" ht="42.75" x14ac:dyDescent="0.2">
      <c r="B9" s="25" t="s">
        <v>86</v>
      </c>
    </row>
    <row r="10" spans="1:5" ht="14.25" x14ac:dyDescent="0.2">
      <c r="B10" s="25"/>
    </row>
    <row r="11" spans="1:5" ht="15" x14ac:dyDescent="0.25">
      <c r="A11" s="23" t="s">
        <v>51</v>
      </c>
      <c r="B11" s="24"/>
      <c r="C11" s="63"/>
    </row>
    <row r="12" spans="1:5" ht="15" x14ac:dyDescent="0.2">
      <c r="B12" s="59" t="s">
        <v>50</v>
      </c>
    </row>
    <row r="13" spans="1:5" ht="14.25" x14ac:dyDescent="0.2">
      <c r="B13" s="25"/>
    </row>
    <row r="14" spans="1:5" ht="14.25" x14ac:dyDescent="0.2">
      <c r="B14" s="58" t="s">
        <v>83</v>
      </c>
    </row>
    <row r="15" spans="1:5" ht="14.25" x14ac:dyDescent="0.2">
      <c r="A15" s="27"/>
      <c r="B15" s="28"/>
    </row>
    <row r="16" spans="1:5" ht="15" x14ac:dyDescent="0.25">
      <c r="A16" s="23" t="s">
        <v>12</v>
      </c>
      <c r="B16" s="24"/>
      <c r="C16" s="63"/>
      <c r="E16" s="26"/>
    </row>
    <row r="17" spans="1:5" ht="28.5" x14ac:dyDescent="0.2">
      <c r="B17" s="28" t="s">
        <v>13</v>
      </c>
      <c r="E17" s="26"/>
    </row>
    <row r="18" spans="1:5" ht="14.25" x14ac:dyDescent="0.2">
      <c r="B18" s="28"/>
      <c r="E18" s="26"/>
    </row>
    <row r="19" spans="1:5" ht="15.75" x14ac:dyDescent="0.25">
      <c r="A19" s="64"/>
      <c r="B19" s="29" t="s">
        <v>14</v>
      </c>
      <c r="C19" s="65"/>
      <c r="E19" s="26"/>
    </row>
    <row r="21" spans="1:5" ht="15" x14ac:dyDescent="0.25">
      <c r="A21" s="30" t="s">
        <v>15</v>
      </c>
      <c r="B21" s="31" t="s">
        <v>80</v>
      </c>
    </row>
    <row r="22" spans="1:5" x14ac:dyDescent="0.2">
      <c r="A22" s="32"/>
      <c r="E22" s="33"/>
    </row>
    <row r="23" spans="1:5" ht="15" x14ac:dyDescent="0.25">
      <c r="A23" s="30" t="s">
        <v>15</v>
      </c>
      <c r="B23" s="31" t="s">
        <v>84</v>
      </c>
      <c r="E23" s="33"/>
    </row>
    <row r="24" spans="1:5" x14ac:dyDescent="0.2">
      <c r="A24" s="32"/>
      <c r="E24" s="33"/>
    </row>
    <row r="25" spans="1:5" ht="15" x14ac:dyDescent="0.25">
      <c r="A25" s="30" t="s">
        <v>15</v>
      </c>
      <c r="B25" s="31" t="s">
        <v>85</v>
      </c>
      <c r="E25" s="33"/>
    </row>
    <row r="26" spans="1:5" x14ac:dyDescent="0.2">
      <c r="A26" s="32"/>
      <c r="E26" s="33"/>
    </row>
    <row r="27" spans="1:5" ht="15" x14ac:dyDescent="0.25">
      <c r="A27" s="30" t="s">
        <v>15</v>
      </c>
      <c r="B27" s="31" t="s">
        <v>16</v>
      </c>
      <c r="E27" s="33"/>
    </row>
    <row r="28" spans="1:5" x14ac:dyDescent="0.2">
      <c r="A28" s="32"/>
      <c r="E28" s="33"/>
    </row>
    <row r="29" spans="1:5" ht="15" x14ac:dyDescent="0.25">
      <c r="A29" s="30" t="s">
        <v>17</v>
      </c>
      <c r="B29" s="34" t="s">
        <v>18</v>
      </c>
      <c r="E29" s="33"/>
    </row>
    <row r="30" spans="1:5" ht="14.25" x14ac:dyDescent="0.2">
      <c r="B30" s="35"/>
      <c r="E30" s="33"/>
    </row>
    <row r="31" spans="1:5" x14ac:dyDescent="0.2">
      <c r="E31" s="66"/>
    </row>
    <row r="32" spans="1:5" x14ac:dyDescent="0.2">
      <c r="E32" s="33"/>
    </row>
  </sheetData>
  <hyperlinks>
    <hyperlink ref="A2" r:id="rId1"/>
    <hyperlink ref="B29" r:id="rId2" display="Spreadsheet Tips Workbook"/>
    <hyperlink ref="B27" r:id="rId3" display="https://www.vertex42.com/ExcelTemplates/personal-budget-spreadsheet.html"/>
    <hyperlink ref="B21" r:id="rId4" display="https://www.vertex42.com/Calculators/home-mortgage-calculator.html"/>
    <hyperlink ref="B25" r:id="rId5" display="https://www.vertex42.com/Calculators/retirement-withdrawal-calculator.html"/>
    <hyperlink ref="B23" r:id="rId6" display="https://www.vertex42.com/Calculators/401k-savings-calculator.html"/>
  </hyperlinks>
  <pageMargins left="0.7" right="0.7" top="0.75" bottom="0.75" header="0.3" footer="0.3"/>
  <pageSetup orientation="portrait"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C33"/>
  <sheetViews>
    <sheetView showGridLines="0" workbookViewId="0">
      <selection activeCell="A2" sqref="A2"/>
    </sheetView>
  </sheetViews>
  <sheetFormatPr defaultColWidth="9.140625" defaultRowHeight="12.75" x14ac:dyDescent="0.2"/>
  <cols>
    <col min="1" max="1" width="7.85546875" customWidth="1"/>
    <col min="2" max="2" width="78.5703125" customWidth="1"/>
    <col min="3" max="3" width="5.28515625" customWidth="1"/>
    <col min="4" max="4" width="10.28515625" customWidth="1"/>
  </cols>
  <sheetData>
    <row r="1" spans="1:3" ht="31.5" customHeight="1" x14ac:dyDescent="0.2">
      <c r="A1" s="36" t="s">
        <v>24</v>
      </c>
      <c r="B1" s="36"/>
      <c r="C1" s="36"/>
    </row>
    <row r="2" spans="1:3" ht="16.5" x14ac:dyDescent="0.2">
      <c r="A2" s="21"/>
      <c r="B2" s="37"/>
      <c r="C2" s="21"/>
    </row>
    <row r="3" spans="1:3" s="40" customFormat="1" ht="14.25" x14ac:dyDescent="0.2">
      <c r="A3" s="38"/>
      <c r="B3" s="39" t="s">
        <v>19</v>
      </c>
      <c r="C3" s="38"/>
    </row>
    <row r="4" spans="1:3" s="40" customFormat="1" x14ac:dyDescent="0.2">
      <c r="A4" s="38"/>
      <c r="B4" s="41" t="s">
        <v>98</v>
      </c>
      <c r="C4" s="38"/>
    </row>
    <row r="5" spans="1:3" s="40" customFormat="1" ht="15" x14ac:dyDescent="0.2">
      <c r="A5" s="38"/>
      <c r="B5" s="42"/>
      <c r="C5" s="38"/>
    </row>
    <row r="6" spans="1:3" s="40" customFormat="1" ht="15.75" x14ac:dyDescent="0.25">
      <c r="A6" s="38"/>
      <c r="B6" s="43" t="s">
        <v>106</v>
      </c>
      <c r="C6" s="38"/>
    </row>
    <row r="7" spans="1:3" s="40" customFormat="1" ht="15.75" x14ac:dyDescent="0.25">
      <c r="A7" s="44"/>
      <c r="B7" s="45"/>
      <c r="C7" s="46"/>
    </row>
    <row r="8" spans="1:3" s="40" customFormat="1" ht="30" x14ac:dyDescent="0.2">
      <c r="A8" s="47"/>
      <c r="B8" s="45" t="s">
        <v>23</v>
      </c>
      <c r="C8" s="38"/>
    </row>
    <row r="9" spans="1:3" s="40" customFormat="1" ht="15" x14ac:dyDescent="0.2">
      <c r="A9" s="47"/>
      <c r="B9" s="45"/>
      <c r="C9" s="38"/>
    </row>
    <row r="10" spans="1:3" s="40" customFormat="1" ht="30" x14ac:dyDescent="0.2">
      <c r="A10" s="47"/>
      <c r="B10" s="45" t="s">
        <v>20</v>
      </c>
      <c r="C10" s="38"/>
    </row>
    <row r="11" spans="1:3" s="40" customFormat="1" ht="15" x14ac:dyDescent="0.2">
      <c r="A11" s="47"/>
      <c r="B11" s="45"/>
      <c r="C11" s="38"/>
    </row>
    <row r="12" spans="1:3" s="40" customFormat="1" ht="30" x14ac:dyDescent="0.2">
      <c r="A12" s="47"/>
      <c r="B12" s="45" t="s">
        <v>21</v>
      </c>
      <c r="C12" s="38"/>
    </row>
    <row r="13" spans="1:3" s="40" customFormat="1" ht="15" x14ac:dyDescent="0.2">
      <c r="A13" s="47"/>
      <c r="B13" s="45"/>
      <c r="C13" s="38"/>
    </row>
    <row r="14" spans="1:3" s="40" customFormat="1" ht="15.75" x14ac:dyDescent="0.25">
      <c r="A14" s="47"/>
      <c r="B14" s="43" t="s">
        <v>101</v>
      </c>
      <c r="C14" s="38"/>
    </row>
    <row r="15" spans="1:3" s="40" customFormat="1" ht="15" x14ac:dyDescent="0.2">
      <c r="A15" s="47"/>
      <c r="B15" s="115" t="s">
        <v>99</v>
      </c>
      <c r="C15" s="38"/>
    </row>
    <row r="16" spans="1:3" s="40" customFormat="1" ht="15" x14ac:dyDescent="0.2">
      <c r="A16" s="47"/>
      <c r="B16" s="48"/>
      <c r="C16" s="38"/>
    </row>
    <row r="17" spans="1:3" s="40" customFormat="1" ht="15" x14ac:dyDescent="0.2">
      <c r="A17" s="47"/>
      <c r="B17" s="116" t="s">
        <v>100</v>
      </c>
      <c r="C17" s="38"/>
    </row>
    <row r="18" spans="1:3" s="40" customFormat="1" ht="16.5" x14ac:dyDescent="0.2">
      <c r="A18" s="47"/>
      <c r="B18" s="49"/>
      <c r="C18" s="38"/>
    </row>
    <row r="19" spans="1:3" s="40" customFormat="1" ht="16.5" x14ac:dyDescent="0.2">
      <c r="A19" s="47"/>
      <c r="B19" s="49"/>
      <c r="C19" s="38"/>
    </row>
    <row r="20" spans="1:3" s="40" customFormat="1" ht="14.25" x14ac:dyDescent="0.2">
      <c r="A20" s="47"/>
      <c r="B20" s="50"/>
      <c r="C20" s="38"/>
    </row>
    <row r="21" spans="1:3" s="40" customFormat="1" ht="15" x14ac:dyDescent="0.25">
      <c r="A21" s="44"/>
      <c r="B21" s="50"/>
      <c r="C21" s="46"/>
    </row>
    <row r="22" spans="1:3" s="40" customFormat="1" ht="14.25" x14ac:dyDescent="0.2">
      <c r="A22" s="38"/>
      <c r="B22" s="51"/>
      <c r="C22" s="38"/>
    </row>
    <row r="23" spans="1:3" s="40" customFormat="1" ht="14.25" x14ac:dyDescent="0.2">
      <c r="A23" s="38"/>
      <c r="B23" s="51"/>
      <c r="C23" s="38"/>
    </row>
    <row r="24" spans="1:3" s="40" customFormat="1" ht="15.75" x14ac:dyDescent="0.25">
      <c r="A24" s="52"/>
      <c r="B24" s="53"/>
    </row>
    <row r="25" spans="1:3" s="40" customFormat="1" x14ac:dyDescent="0.2"/>
    <row r="26" spans="1:3" s="40" customFormat="1" ht="15" x14ac:dyDescent="0.25">
      <c r="A26" s="54"/>
      <c r="B26" s="55"/>
    </row>
    <row r="27" spans="1:3" s="40" customFormat="1" x14ac:dyDescent="0.2"/>
    <row r="28" spans="1:3" s="40" customFormat="1" ht="15" x14ac:dyDescent="0.25">
      <c r="A28" s="54"/>
      <c r="B28" s="55"/>
    </row>
    <row r="29" spans="1:3" s="40" customFormat="1" x14ac:dyDescent="0.2"/>
    <row r="30" spans="1:3" s="40" customFormat="1" ht="15" x14ac:dyDescent="0.25">
      <c r="A30" s="54"/>
      <c r="B30" s="56"/>
    </row>
    <row r="31" spans="1:3" s="40" customFormat="1" ht="14.25" x14ac:dyDescent="0.2">
      <c r="B31" s="57"/>
    </row>
    <row r="32" spans="1:3" s="40" customFormat="1" x14ac:dyDescent="0.2"/>
    <row r="33" s="40" customFormat="1" x14ac:dyDescent="0.2"/>
  </sheetData>
  <hyperlinks>
    <hyperlink ref="B4" r:id="rId1"/>
    <hyperlink ref="B15" r:id="rId2"/>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1008BF28708D49A922BD9EA957ADBF" ma:contentTypeVersion="10" ma:contentTypeDescription="Create a new document." ma:contentTypeScope="" ma:versionID="1287479a73bca22183351fa34df93676">
  <xsd:schema xmlns:xsd="http://www.w3.org/2001/XMLSchema" xmlns:xs="http://www.w3.org/2001/XMLSchema" xmlns:p="http://schemas.microsoft.com/office/2006/metadata/properties" xmlns:ns1="http://schemas.microsoft.com/sharepoint/v3" xmlns:ns2="33131be1-7636-4fde-9b4e-c35c6eedaee5" targetNamespace="http://schemas.microsoft.com/office/2006/metadata/properties" ma:root="true" ma:fieldsID="4237beccd808ca37d76d101f5808803b" ns1:_="" ns2:_="">
    <xsd:import namespace="http://schemas.microsoft.com/sharepoint/v3"/>
    <xsd:import namespace="33131be1-7636-4fde-9b4e-c35c6eedaee5"/>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131be1-7636-4fde-9b4e-c35c6eedaee5"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2FBE4584-6CF9-4B85-916B-E35EBFB1755B}"/>
</file>

<file path=customXml/itemProps2.xml><?xml version="1.0" encoding="utf-8"?>
<ds:datastoreItem xmlns:ds="http://schemas.openxmlformats.org/officeDocument/2006/customXml" ds:itemID="{FC736596-0308-43A7-B30D-C97CD821C41B}"/>
</file>

<file path=customXml/itemProps3.xml><?xml version="1.0" encoding="utf-8"?>
<ds:datastoreItem xmlns:ds="http://schemas.openxmlformats.org/officeDocument/2006/customXml" ds:itemID="{DC04C529-A203-4374-A7CC-50872FAC8D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Retirement</vt:lpstr>
      <vt:lpstr>Help</vt:lpstr>
      <vt:lpstr>©</vt:lpstr>
      <vt:lpstr>Retirement!Print_Area</vt:lpstr>
      <vt:lpstr>Retirement!Print_Titles</vt:lpstr>
    </vt:vector>
  </TitlesOfParts>
  <Company>Vertex42 LLC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Retirement Calculator</dc:title>
  <dc:creator>Vertex42.com</dc:creator>
  <dc:description>(c) 2015-2018 Vertex42 LLC. All Rights Reserved.</dc:description>
  <cp:lastModifiedBy>George Katsins</cp:lastModifiedBy>
  <cp:lastPrinted>2016-07-20T20:58:37Z</cp:lastPrinted>
  <dcterms:created xsi:type="dcterms:W3CDTF">2005-04-02T20:59:36Z</dcterms:created>
  <dcterms:modified xsi:type="dcterms:W3CDTF">2019-06-21T21:09:15Z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2015-2018 Vertex42 LLC</vt:lpwstr>
  </property>
  <property fmtid="{D5CDD505-2E9C-101B-9397-08002B2CF9AE}" pid="3" name="Version">
    <vt:lpwstr>1.0.7</vt:lpwstr>
  </property>
  <property fmtid="{D5CDD505-2E9C-101B-9397-08002B2CF9AE}" pid="4" name="ContentTypeId">
    <vt:lpwstr>0x010100961008BF28708D49A922BD9EA957ADBF</vt:lpwstr>
  </property>
</Properties>
</file>