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Offices\Salem (500 Summer St)\OHPR Research Unit\APAC\APM\Appendix G reports\excel file layout\"/>
    </mc:Choice>
  </mc:AlternateContent>
  <xr:revisionPtr revIDLastSave="0" documentId="8_{060C69A2-4174-43F9-92AA-0B4851551076}" xr6:coauthVersionLast="47" xr6:coauthVersionMax="47" xr10:uidLastSave="{00000000-0000-0000-0000-000000000000}"/>
  <bookViews>
    <workbookView xWindow="-120" yWindow="-120" windowWidth="29040" windowHeight="15840" xr2:uid="{852BC088-535A-4470-8700-2ADF8B489B94}"/>
  </bookViews>
  <sheets>
    <sheet name="README" sheetId="10" r:id="rId1"/>
    <sheet name="Data" sheetId="11" r:id="rId2"/>
    <sheet name="Summary_calculations" sheetId="12" r:id="rId3"/>
    <sheet name="HCP-LAN for reference" sheetId="9" r:id="rId4"/>
    <sheet name="payment_type_hierarchy_hide" sheetId="14" r:id="rId5"/>
  </sheets>
  <definedNames>
    <definedName name="_xlnm._FilterDatabase" localSheetId="1" hidden="1">Data!$A$1:$AH$2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14" l="1"/>
  <c r="AD2" i="11"/>
  <c r="AD3" i="11"/>
  <c r="AA3" i="11" l="1"/>
  <c r="AC3" i="11" s="1"/>
  <c r="R3" i="11"/>
  <c r="Q3" i="11"/>
  <c r="Q2" i="11"/>
  <c r="T3" i="11" l="1"/>
  <c r="S3" i="11"/>
  <c r="U3" i="11" s="1"/>
  <c r="AB3" i="11"/>
  <c r="V3" i="11" l="1"/>
  <c r="Z3" i="11"/>
  <c r="Y3" i="11"/>
  <c r="X3" i="11"/>
  <c r="W3" i="11"/>
  <c r="N48" i="12" l="1"/>
  <c r="K49" i="12"/>
  <c r="N67" i="12"/>
  <c r="N66" i="12"/>
  <c r="N65" i="12"/>
  <c r="N64" i="12"/>
  <c r="N62" i="12"/>
  <c r="N61" i="12"/>
  <c r="N60" i="12"/>
  <c r="K67" i="12"/>
  <c r="K66" i="12"/>
  <c r="K65" i="12"/>
  <c r="K64" i="12"/>
  <c r="K62" i="12"/>
  <c r="K61" i="12"/>
  <c r="K60" i="12"/>
  <c r="H67" i="12"/>
  <c r="H66" i="12"/>
  <c r="H65" i="12"/>
  <c r="H64" i="12"/>
  <c r="H63" i="12"/>
  <c r="H61" i="12"/>
  <c r="H60" i="12"/>
  <c r="E66" i="12"/>
  <c r="E65" i="12"/>
  <c r="E64" i="12"/>
  <c r="E62" i="12"/>
  <c r="E61" i="12"/>
  <c r="E60" i="12"/>
  <c r="B67" i="12"/>
  <c r="B66" i="12"/>
  <c r="B65" i="12"/>
  <c r="B64" i="12"/>
  <c r="N50" i="12"/>
  <c r="N49" i="12"/>
  <c r="N46" i="12"/>
  <c r="N45" i="12"/>
  <c r="N42" i="12"/>
  <c r="N41" i="12"/>
  <c r="K50" i="12"/>
  <c r="K46" i="12"/>
  <c r="K42" i="12"/>
  <c r="B25" i="12" a="1"/>
  <c r="B25" i="12" s="1"/>
  <c r="B23" i="12" a="1"/>
  <c r="B23" i="12" s="1"/>
  <c r="B27" i="12" a="1"/>
  <c r="B27" i="12" s="1"/>
  <c r="B26" i="12" a="1"/>
  <c r="B26" i="12" s="1"/>
  <c r="B24" i="12" a="1"/>
  <c r="B24" i="12" s="1"/>
  <c r="B19" i="12" a="1"/>
  <c r="B19" i="12" s="1"/>
  <c r="B15" i="12"/>
  <c r="B14" i="12"/>
  <c r="B13" i="12"/>
  <c r="B12" i="12"/>
  <c r="B11" i="12"/>
  <c r="K43" i="12" l="1"/>
  <c r="K51" i="12"/>
  <c r="K40" i="12"/>
  <c r="K44" i="12"/>
  <c r="K48" i="12"/>
  <c r="N43" i="12"/>
  <c r="N47" i="12"/>
  <c r="N51" i="12"/>
  <c r="K47" i="12"/>
  <c r="K41" i="12"/>
  <c r="K45" i="12"/>
  <c r="N40" i="12"/>
  <c r="N44" i="12"/>
  <c r="N74" i="12" l="1"/>
  <c r="N75" i="12"/>
  <c r="N77" i="12"/>
  <c r="E63" i="12" l="1"/>
  <c r="N76" i="12"/>
  <c r="N63" i="12"/>
  <c r="E15" i="12"/>
  <c r="N38" i="12"/>
  <c r="N52" i="12" s="1"/>
  <c r="K75" i="12"/>
  <c r="K77" i="12"/>
  <c r="K74" i="12"/>
  <c r="B62" i="12"/>
  <c r="B61" i="12"/>
  <c r="K76" i="12" l="1"/>
  <c r="K63" i="12"/>
  <c r="E14" i="12"/>
  <c r="K38" i="12"/>
  <c r="K52" i="12" s="1"/>
  <c r="R2" i="11" l="1"/>
  <c r="S2" i="11" s="1"/>
  <c r="T2" i="11" l="1"/>
  <c r="H3" i="14" l="1"/>
  <c r="N78" i="12" l="1"/>
  <c r="B60" i="12" l="1"/>
  <c r="AA2" i="11"/>
  <c r="AB2" i="11" l="1"/>
  <c r="AC2" i="11" s="1"/>
  <c r="H50" i="12" l="1"/>
  <c r="H42" i="12"/>
  <c r="H49" i="12"/>
  <c r="H41" i="12"/>
  <c r="H48" i="12"/>
  <c r="H40" i="12"/>
  <c r="H47" i="12"/>
  <c r="H46" i="12"/>
  <c r="H51" i="12"/>
  <c r="H43" i="12"/>
  <c r="H45" i="12"/>
  <c r="H44" i="12"/>
  <c r="E48" i="12"/>
  <c r="E40" i="12"/>
  <c r="E47" i="12"/>
  <c r="E46" i="12"/>
  <c r="E45" i="12"/>
  <c r="E44" i="12"/>
  <c r="E51" i="12"/>
  <c r="E43" i="12"/>
  <c r="E50" i="12"/>
  <c r="E42" i="12"/>
  <c r="E49" i="12"/>
  <c r="E41" i="12"/>
  <c r="B49" i="12"/>
  <c r="B45" i="12"/>
  <c r="B41" i="12"/>
  <c r="B47" i="12"/>
  <c r="B48" i="12"/>
  <c r="B44" i="12"/>
  <c r="B40" i="12"/>
  <c r="B51" i="12"/>
  <c r="B43" i="12"/>
  <c r="B50" i="12"/>
  <c r="B46" i="12"/>
  <c r="B42" i="12"/>
  <c r="K78" i="12"/>
  <c r="U2" i="11" l="1"/>
  <c r="Z2" i="11" l="1"/>
  <c r="H77" i="12" s="1"/>
  <c r="Y2" i="11"/>
  <c r="X2" i="11"/>
  <c r="H75" i="12" s="1"/>
  <c r="W2" i="11"/>
  <c r="H74" i="12" s="1"/>
  <c r="V2" i="11"/>
  <c r="H76" i="12" l="1"/>
  <c r="H62" i="12"/>
  <c r="E13" i="12"/>
  <c r="H38" i="12"/>
  <c r="H52" i="12" s="1"/>
  <c r="B74" i="12"/>
  <c r="E74" i="12"/>
  <c r="E67" i="12"/>
  <c r="E76" i="12"/>
  <c r="E38" i="12"/>
  <c r="E52" i="12" s="1"/>
  <c r="B75" i="12"/>
  <c r="E75" i="12"/>
  <c r="B77" i="12"/>
  <c r="E77" i="12"/>
  <c r="B63" i="12"/>
  <c r="B76" i="12"/>
  <c r="B38" i="12"/>
  <c r="B52" i="12" s="1"/>
  <c r="E12" i="12" l="1"/>
  <c r="E11" i="12"/>
  <c r="E78" i="12" l="1"/>
  <c r="B78" i="12"/>
  <c r="H78"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<sst xmlns="http://schemas.openxmlformats.org/spreadsheetml/2006/main" count="246" uniqueCount="129">
  <si>
    <t>Total Claims Payments</t>
  </si>
  <si>
    <t>COMM</t>
  </si>
  <si>
    <t>1A</t>
  </si>
  <si>
    <t>Total Non-Claims Payments</t>
  </si>
  <si>
    <t>3B</t>
  </si>
  <si>
    <t>PRAPM003
Contract ID</t>
  </si>
  <si>
    <t>PRAPM018
Billing Provider or Org NPI</t>
  </si>
  <si>
    <t>PRAPM004
Billing Provider or Org Tax ID</t>
  </si>
  <si>
    <t>PRAPM008 Billing Provider Last Name or Org</t>
  </si>
  <si>
    <t>PRAPM006 Billing Provider First Name</t>
  </si>
  <si>
    <t>PRAPM101 Billing Provider or Org Entity Type</t>
  </si>
  <si>
    <t>PRAPM103
Payment Model</t>
  </si>
  <si>
    <t>PRAPM104
Perf. Period Start Date</t>
  </si>
  <si>
    <t>PRAPM105
Perf. Period End Date</t>
  </si>
  <si>
    <t>PRAPM106
Member Months</t>
  </si>
  <si>
    <t>PRAPM107
Total Primary Care Claims Payments</t>
  </si>
  <si>
    <t>PRAPM108
Total Primary Care Non-Claims Payments</t>
  </si>
  <si>
    <t>PRAPM109
Total Claims Payments</t>
  </si>
  <si>
    <t>PRAPM110
Total Non-Claims Payments</t>
  </si>
  <si>
    <t>Summary calculations using data from the Data_layout_example tab:</t>
  </si>
  <si>
    <t>Notes about calculations:</t>
  </si>
  <si>
    <t>is within the reporting year.</t>
  </si>
  <si>
    <t>"Absolute value" means any negative payments (recoupments) are treated as positive dollar amounts</t>
  </si>
  <si>
    <t>Prorated PRAPM106 Member Months (only for those with entries)</t>
  </si>
  <si>
    <t>Medicare Advantage:</t>
  </si>
  <si>
    <t>Commercial:</t>
  </si>
  <si>
    <t>PEBB:</t>
  </si>
  <si>
    <t>OEBB:</t>
  </si>
  <si>
    <t>CCO:</t>
  </si>
  <si>
    <t>Total prorated dollars, absolute value:</t>
  </si>
  <si>
    <t>Count of unique Contract ID (PRAPM003)</t>
  </si>
  <si>
    <t>Count of unique Contract ID (PRAPM003), by line of business</t>
  </si>
  <si>
    <t>Payment Arrangement Summary table</t>
  </si>
  <si>
    <t xml:space="preserve">By aggregating on the Contract ID data element, the figures below are a result of designating the total prorated, absolute value of dollars to the highest Payment Model using </t>
  </si>
  <si>
    <t xml:space="preserve">For example if two rows have the same Contract ID and one row shows $100 in Payment Arrangement 1A, a second row shows $2,000 in Payment Arrangement 2B, then $2,100 will be </t>
  </si>
  <si>
    <t>designated to category 2B in the table below.</t>
  </si>
  <si>
    <t>Payment Arrangement Summary for Commercial</t>
  </si>
  <si>
    <t>Category 1A</t>
  </si>
  <si>
    <t>Category 2Aii</t>
  </si>
  <si>
    <t>Category 2Ai</t>
  </si>
  <si>
    <t>Category 2B</t>
  </si>
  <si>
    <t>Category 2C</t>
  </si>
  <si>
    <t>Category 3A</t>
  </si>
  <si>
    <t>Category 3B</t>
  </si>
  <si>
    <t>Category 4A</t>
  </si>
  <si>
    <t>Category 4B</t>
  </si>
  <si>
    <t>Category 4C</t>
  </si>
  <si>
    <t>Payment Arrangement Summary for CCO</t>
  </si>
  <si>
    <t>Payment Arrangement Summary for PEBB</t>
  </si>
  <si>
    <t>Payment Arrangement Summary for OEBB</t>
  </si>
  <si>
    <t>Payment Arrangement Summary for Medicare Adv</t>
  </si>
  <si>
    <t>Entity Type Summary Table</t>
  </si>
  <si>
    <t>Entity Type for Commercial</t>
  </si>
  <si>
    <t>1 - Person</t>
  </si>
  <si>
    <t>2 - Facility</t>
  </si>
  <si>
    <t>3 - Professional Group</t>
  </si>
  <si>
    <t>4 - Retail Site</t>
  </si>
  <si>
    <t>5 - E-site</t>
  </si>
  <si>
    <t>6 - Financial Parent</t>
  </si>
  <si>
    <t>7 - Transportation</t>
  </si>
  <si>
    <t>8 - Other</t>
  </si>
  <si>
    <t>Entity Type for Medicare Adv</t>
  </si>
  <si>
    <t>Entity Type for CCO</t>
  </si>
  <si>
    <t>Entity Type for PEBB</t>
  </si>
  <si>
    <t>Entity Type for OEBB</t>
  </si>
  <si>
    <t>Sum of prorated, absolute value payment amounts by entity type and LOB</t>
  </si>
  <si>
    <t>Primary Care Summary Table</t>
  </si>
  <si>
    <t>Sum of prorated, absolute value payment amounts for primary care, by LOB</t>
  </si>
  <si>
    <t>Primary care for Commercial</t>
  </si>
  <si>
    <t>Total Primary Care Claims Payments</t>
  </si>
  <si>
    <t>Total Primary Care Non-claims Payments</t>
  </si>
  <si>
    <t>Percent of Primary Care</t>
  </si>
  <si>
    <t>Primary care for Medicare Adv</t>
  </si>
  <si>
    <t>Primary care for CCO</t>
  </si>
  <si>
    <t>Primary care for PEBB</t>
  </si>
  <si>
    <t>Primary care for OEBB</t>
  </si>
  <si>
    <t>PRAPM102
Line of Business</t>
  </si>
  <si>
    <t>Total prorated, absolute value</t>
  </si>
  <si>
    <t>"Raw dollars" means the dollar amount as reflected in the data_layout tab without any proration for all time periods</t>
  </si>
  <si>
    <t>Total raw dollars, not absolute value:</t>
  </si>
  <si>
    <t>* Cell colors denote CCO 2.0 target categories</t>
  </si>
  <si>
    <t>"Prorated" means calculating the dollar amount to fit within the reporting year (calendar year). For example, if the Performance Start and End periods are July to June, respectively, the prorated amount is half the reported amount because only 6 months of the Performance period</t>
  </si>
  <si>
    <t>Category 1</t>
  </si>
  <si>
    <t>Category 3N</t>
  </si>
  <si>
    <t>Category 4N</t>
  </si>
  <si>
    <t>the following hierarchy (lowest to highest): 3N, 4N, 1A, 2Aii, 2Ai, 2B, 2C, 3A, 3B, 4A, 4B, 4C</t>
  </si>
  <si>
    <t>3A</t>
  </si>
  <si>
    <t>2C</t>
  </si>
  <si>
    <t>CCO</t>
  </si>
  <si>
    <t>MADV</t>
  </si>
  <si>
    <t>Category</t>
  </si>
  <si>
    <t>3N</t>
  </si>
  <si>
    <t>4N</t>
  </si>
  <si>
    <t>2Aii</t>
  </si>
  <si>
    <t>2Ai</t>
  </si>
  <si>
    <t>2B</t>
  </si>
  <si>
    <t>4A</t>
  </si>
  <si>
    <t>4B</t>
  </si>
  <si>
    <t>4C</t>
  </si>
  <si>
    <t>Hierarchy lowest to highest</t>
  </si>
  <si>
    <t>Prorated &amp; abs value PRAPM107
Total Primary Care Claims Payments</t>
  </si>
  <si>
    <t>Prorated &amp; abs value PRAPM108
Total Primary Care Non-Claims Payments</t>
  </si>
  <si>
    <t>Prorated &amp; abs value PRAPM109
Total Claims Payments</t>
  </si>
  <si>
    <t>Prorated &amp; abs value
PRAPM110
Total Non-Claims Payments</t>
  </si>
  <si>
    <t>Most advanced LAN category</t>
  </si>
  <si>
    <t>Mapping to most advanced LAN category - step 1</t>
  </si>
  <si>
    <t>Mapping to most advanced LAN category - step 2</t>
  </si>
  <si>
    <t>Total days</t>
  </si>
  <si>
    <t>-</t>
  </si>
  <si>
    <t>flag for unique contract</t>
  </si>
  <si>
    <t>PEBB</t>
  </si>
  <si>
    <t>OEBB</t>
  </si>
  <si>
    <t>All dollar amounts below are prorated and absolute values of the reported amounts.</t>
  </si>
  <si>
    <t>Start Date converted</t>
  </si>
  <si>
    <t>End Date converted</t>
  </si>
  <si>
    <t>Enter your data on the "Data" tab.</t>
  </si>
  <si>
    <t>The "Summary_calculations" tab will show summary statistics.</t>
  </si>
  <si>
    <t>Days in year</t>
  </si>
  <si>
    <t>Percent in reporting year</t>
  </si>
  <si>
    <t>Date range boundaries (built off of the year entered on the ReadMe tab)</t>
  </si>
  <si>
    <t>Enter report data year:</t>
  </si>
  <si>
    <t>Payment Arrangement File for optional Excel data template with summary calculations</t>
  </si>
  <si>
    <t xml:space="preserve">The OHA team has developed this Excel data template, as requested by the Payment Arrangement File Workgroup (2019), with summary calculations. </t>
  </si>
  <si>
    <t>PRAPM201 Hospital indicator</t>
  </si>
  <si>
    <r>
      <t xml:space="preserve">Please send questions and comments to </t>
    </r>
    <r>
      <rPr>
        <b/>
        <sz val="11"/>
        <color theme="5" tint="-0.249977111117893"/>
        <rFont val="Calibri"/>
        <family val="2"/>
        <scheme val="minor"/>
      </rPr>
      <t>APAC.Admin@odhsoha.oregon.gov</t>
    </r>
  </si>
  <si>
    <t>Link to APAC Appendices, version 2023.1</t>
  </si>
  <si>
    <t>https://www.oregon.gov/oha/HPA/ANALYTICS/APAC%20Page%20Docs/409-025-0125-App-1-2.pdf</t>
  </si>
  <si>
    <t>Version 20234.1</t>
  </si>
  <si>
    <t>If after pasting your data, columns P through AC do not populate, go to the Formula tab at the top of Excel and click "Calculate 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</si>
</sst>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
  </numFmts>
  <fonts count="12" x14ac:knownFonts="1">
    <font>
      <sz val="11"/>
      <color theme="1"/>
      <name val="Calibri"/>
      <family val="2"/>
      <scheme val="minor"/>
    </font>
    <font>
      <sz val="11"/>
      <color rgb="FFFF0000"/>
      <name val="Calibri"/>
      <family val="2"/>
      <scheme val="minor"/>
    </font>
    <font>
      <sz val="11"/>
      <color theme="1"/>
      <name val="Calibri"/>
      <family val="2"/>
      <scheme val="minor"/>
    </font>
    <font>
      <i/>
      <sz val="11"/>
      <color theme="1"/>
      <name val="Calibri"/>
      <family val="2"/>
      <scheme val="minor"/>
    </font>
    <font>
      <b/>
      <sz val="11"/>
      <color theme="5" tint="-0.249977111117893"/>
      <name val="Calibri"/>
      <family val="2"/>
      <scheme val="minor"/>
    </font>
    <font>
      <u/>
      <sz val="11"/>
      <color theme="10"/>
      <name val="Calibri"/>
      <family val="2"/>
      <scheme val="minor"/>
    </font>
    <font>
      <b/>
      <sz val="12"/>
      <color theme="1"/>
      <name val="Calibri"/>
      <family val="2"/>
      <scheme val="minor"/>
    </font>
    <font>
      <b/>
      <sz val="11"/>
      <color theme="1"/>
      <name val="Calibri"/>
      <family val="2"/>
      <scheme val="minor"/>
    </font>
    <font>
      <i/>
      <sz val="11"/>
      <color rgb="FFFF0000"/>
      <name val="Calibri"/>
      <family val="2"/>
      <scheme val="minor"/>
    </font>
    <font>
      <sz val="14"/>
      <color rgb="FFFBDE2D"/>
      <name val="Courier New"/>
      <family val="3"/>
    </font>
    <font>
      <b/>
      <i/>
      <sz val="11"/>
      <name val="Calibri"/>
      <family val="2"/>
      <scheme val="minor"/>
    </font>
    <font>
      <sz val="1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2CC"/>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xf numFmtId="44" fontId="2" fillId="0" borderId="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86">
    <xf numFmtId="0" fontId="0" fillId="0" borderId="0" xfId="0"/>
    <xf numFmtId="0" fontId="0" fillId="0" borderId="0" xfId="0" applyAlignment="1">
      <alignment wrapText="1"/>
    </xf>
    <xf numFmtId="0" fontId="0" fillId="0" borderId="0" xfId="0" applyAlignment="1">
      <alignment horizontal="center"/>
    </xf>
    <xf numFmtId="0" fontId="3" fillId="0" borderId="0" xfId="0" applyFont="1"/>
    <xf numFmtId="0" fontId="3" fillId="0" borderId="0" xfId="0" applyFont="1" applyFill="1"/>
    <xf numFmtId="0" fontId="0" fillId="0" borderId="0" xfId="0" applyFill="1" applyAlignment="1">
      <alignment horizontal="center"/>
    </xf>
    <xf numFmtId="0" fontId="0" fillId="0" borderId="0" xfId="0" applyFill="1"/>
    <xf numFmtId="0" fontId="1" fillId="0" borderId="0" xfId="0" applyFont="1" applyFill="1" applyAlignment="1">
      <alignment horizontal="center"/>
    </xf>
    <xf numFmtId="0" fontId="0" fillId="0" borderId="0" xfId="0" applyAlignment="1">
      <alignment horizontal="center" vertical="center"/>
    </xf>
    <xf numFmtId="164" fontId="0" fillId="0" borderId="0" xfId="1" applyNumberFormat="1" applyFont="1" applyAlignment="1">
      <alignment horizontal="center" vertical="center"/>
    </xf>
    <xf numFmtId="0" fontId="0" fillId="0" borderId="1" xfId="0" applyBorder="1"/>
    <xf numFmtId="0" fontId="0" fillId="0" borderId="0" xfId="0" applyBorder="1" applyAlignment="1">
      <alignment wrapText="1"/>
    </xf>
    <xf numFmtId="0" fontId="0" fillId="0" borderId="4" xfId="0" applyBorder="1" applyAlignment="1">
      <alignment wrapText="1"/>
    </xf>
    <xf numFmtId="0" fontId="0" fillId="0" borderId="5" xfId="0" applyBorder="1" applyAlignment="1">
      <alignment wrapText="1"/>
    </xf>
    <xf numFmtId="0" fontId="5" fillId="0" borderId="0" xfId="2" applyAlignment="1">
      <alignment wrapText="1"/>
    </xf>
    <xf numFmtId="0" fontId="6" fillId="0" borderId="2" xfId="0" applyFont="1" applyBorder="1" applyAlignment="1">
      <alignment wrapText="1"/>
    </xf>
    <xf numFmtId="0" fontId="0" fillId="0" borderId="0" xfId="0" applyFill="1" applyAlignment="1">
      <alignment horizontal="left"/>
    </xf>
    <xf numFmtId="0" fontId="0" fillId="0" borderId="0" xfId="0" applyFill="1" applyAlignment="1">
      <alignment horizontal="left" vertical="center"/>
    </xf>
    <xf numFmtId="0" fontId="0" fillId="0" borderId="0" xfId="0" applyFill="1" applyBorder="1" applyAlignment="1">
      <alignment wrapText="1"/>
    </xf>
    <xf numFmtId="0" fontId="0" fillId="0" borderId="0" xfId="0" applyFill="1" applyAlignment="1">
      <alignment wrapText="1"/>
    </xf>
    <xf numFmtId="0" fontId="0" fillId="0" borderId="0" xfId="0" applyFill="1" applyAlignment="1">
      <alignment horizontal="center" vertical="center"/>
    </xf>
    <xf numFmtId="0" fontId="7" fillId="0" borderId="1" xfId="0" applyFont="1" applyBorder="1" applyAlignment="1">
      <alignment wrapText="1"/>
    </xf>
    <xf numFmtId="0" fontId="7" fillId="0" borderId="0" xfId="0" applyFont="1"/>
    <xf numFmtId="0" fontId="0" fillId="0" borderId="0" xfId="0" applyBorder="1" applyAlignment="1"/>
    <xf numFmtId="0" fontId="0" fillId="0" borderId="0" xfId="0" applyAlignment="1"/>
    <xf numFmtId="0" fontId="0" fillId="0" borderId="1" xfId="0" applyFill="1" applyBorder="1"/>
    <xf numFmtId="0" fontId="0" fillId="0" borderId="1" xfId="0" applyFill="1" applyBorder="1" applyAlignment="1">
      <alignment horizontal="right"/>
    </xf>
    <xf numFmtId="0" fontId="0" fillId="2" borderId="1" xfId="0" applyFill="1" applyBorder="1"/>
    <xf numFmtId="0" fontId="0" fillId="0" borderId="0" xfId="0" applyFill="1" applyBorder="1" applyAlignment="1">
      <alignment horizontal="right"/>
    </xf>
    <xf numFmtId="0" fontId="0" fillId="0" borderId="0" xfId="0" applyFill="1" applyBorder="1" applyAlignment="1">
      <alignment horizontal="left"/>
    </xf>
    <xf numFmtId="0" fontId="0" fillId="0" borderId="0" xfId="0" applyFill="1" applyBorder="1"/>
    <xf numFmtId="164" fontId="0" fillId="0" borderId="0" xfId="1" applyNumberFormat="1" applyFont="1" applyFill="1" applyAlignment="1">
      <alignment horizontal="center" vertical="center"/>
    </xf>
    <xf numFmtId="0" fontId="0" fillId="0" borderId="0" xfId="0" applyFont="1" applyFill="1"/>
    <xf numFmtId="0" fontId="0" fillId="0" borderId="1" xfId="0" applyFont="1" applyFill="1" applyBorder="1"/>
    <xf numFmtId="0" fontId="0" fillId="0" borderId="1" xfId="0" applyFont="1" applyFill="1" applyBorder="1" applyAlignment="1">
      <alignment wrapText="1"/>
    </xf>
    <xf numFmtId="0" fontId="7" fillId="0" borderId="0" xfId="0" applyFont="1" applyFill="1" applyBorder="1" applyAlignment="1">
      <alignment horizontal="left"/>
    </xf>
    <xf numFmtId="0" fontId="7" fillId="0" borderId="0" xfId="0" applyFont="1" applyFill="1"/>
    <xf numFmtId="0" fontId="0" fillId="0" borderId="1" xfId="0" applyFont="1" applyBorder="1"/>
    <xf numFmtId="0" fontId="0" fillId="0" borderId="0" xfId="0" applyFont="1" applyFill="1" applyBorder="1" applyAlignment="1">
      <alignment wrapText="1"/>
    </xf>
    <xf numFmtId="0" fontId="0" fillId="0" borderId="1" xfId="0" applyFont="1" applyBorder="1" applyAlignment="1">
      <alignment wrapText="1"/>
    </xf>
    <xf numFmtId="0" fontId="1" fillId="0" borderId="0" xfId="0" applyFont="1" applyFill="1"/>
    <xf numFmtId="0" fontId="1" fillId="0" borderId="0" xfId="0" applyFont="1" applyFill="1" applyBorder="1" applyAlignment="1"/>
    <xf numFmtId="0" fontId="1" fillId="0" borderId="0" xfId="0" applyFont="1" applyFill="1" applyBorder="1" applyAlignment="1">
      <alignment horizontal="left"/>
    </xf>
    <xf numFmtId="0" fontId="0" fillId="0" borderId="0" xfId="0" applyFont="1" applyFill="1" applyBorder="1"/>
    <xf numFmtId="0" fontId="1" fillId="0" borderId="0" xfId="0" applyFont="1" applyFill="1" applyBorder="1"/>
    <xf numFmtId="0" fontId="8" fillId="0" borderId="0" xfId="0" applyFont="1"/>
    <xf numFmtId="0" fontId="7" fillId="0" borderId="1" xfId="0" applyFont="1" applyBorder="1" applyAlignment="1">
      <alignment horizontal="left" wrapText="1"/>
    </xf>
    <xf numFmtId="164" fontId="0" fillId="3" borderId="1" xfId="0" applyNumberFormat="1" applyFill="1" applyBorder="1"/>
    <xf numFmtId="164" fontId="0" fillId="2" borderId="1" xfId="0" applyNumberFormat="1" applyFill="1" applyBorder="1"/>
    <xf numFmtId="0" fontId="0" fillId="0" borderId="1" xfId="0" applyBorder="1" applyAlignment="1">
      <alignment horizontal="right"/>
    </xf>
    <xf numFmtId="0" fontId="9" fillId="0" borderId="0" xfId="0" applyFont="1" applyFill="1" applyAlignment="1">
      <alignment vertical="center"/>
    </xf>
    <xf numFmtId="0" fontId="0" fillId="0" borderId="0" xfId="0" applyFill="1" applyBorder="1" applyAlignment="1">
      <alignment horizontal="center" wrapText="1"/>
    </xf>
    <xf numFmtId="0" fontId="0" fillId="0" borderId="0" xfId="0" applyFill="1" applyBorder="1" applyAlignment="1">
      <alignment horizontal="center" vertical="center"/>
    </xf>
    <xf numFmtId="164" fontId="0" fillId="4" borderId="1" xfId="0" applyNumberFormat="1" applyFill="1" applyBorder="1"/>
    <xf numFmtId="164" fontId="0" fillId="5" borderId="1" xfId="0" applyNumberFormat="1" applyFill="1" applyBorder="1"/>
    <xf numFmtId="10" fontId="0" fillId="0" borderId="0" xfId="4" applyNumberFormat="1" applyFont="1"/>
    <xf numFmtId="164" fontId="0" fillId="0" borderId="0" xfId="0" applyNumberFormat="1" applyFill="1"/>
    <xf numFmtId="164" fontId="0" fillId="0" borderId="0" xfId="0" applyNumberFormat="1" applyFill="1" applyBorder="1"/>
    <xf numFmtId="14" fontId="0" fillId="6" borderId="1" xfId="1" applyNumberFormat="1" applyFont="1" applyFill="1" applyBorder="1"/>
    <xf numFmtId="1" fontId="0" fillId="6" borderId="1" xfId="0" applyNumberFormat="1" applyFill="1" applyBorder="1"/>
    <xf numFmtId="0" fontId="0" fillId="6" borderId="1" xfId="0" applyFill="1" applyBorder="1"/>
    <xf numFmtId="44" fontId="0" fillId="6" borderId="1" xfId="0" applyNumberFormat="1" applyFill="1" applyBorder="1"/>
    <xf numFmtId="1" fontId="0" fillId="6" borderId="1" xfId="3" applyNumberFormat="1" applyFont="1" applyFill="1" applyBorder="1" applyAlignment="1">
      <alignment horizontal="center"/>
    </xf>
    <xf numFmtId="0" fontId="0" fillId="6" borderId="1" xfId="0" applyNumberFormat="1" applyFill="1" applyBorder="1" applyAlignment="1">
      <alignment horizontal="center" vertical="center"/>
    </xf>
    <xf numFmtId="0" fontId="0" fillId="6" borderId="0" xfId="0" applyFill="1"/>
    <xf numFmtId="44" fontId="0" fillId="6" borderId="0" xfId="0" applyNumberFormat="1" applyFill="1"/>
    <xf numFmtId="0" fontId="0" fillId="0" borderId="2" xfId="0" applyBorder="1"/>
    <xf numFmtId="0" fontId="0" fillId="7" borderId="4" xfId="0" applyFill="1" applyBorder="1" applyAlignment="1">
      <alignment horizontal="center"/>
    </xf>
    <xf numFmtId="14" fontId="0" fillId="0" borderId="0" xfId="0" applyNumberFormat="1"/>
    <xf numFmtId="0" fontId="0" fillId="0" borderId="7" xfId="0" applyBorder="1"/>
    <xf numFmtId="0" fontId="0" fillId="0" borderId="8" xfId="0" applyFont="1" applyFill="1" applyBorder="1"/>
    <xf numFmtId="0" fontId="0" fillId="0" borderId="9" xfId="0" applyBorder="1"/>
    <xf numFmtId="0" fontId="0" fillId="0" borderId="8" xfId="0" applyBorder="1"/>
    <xf numFmtId="0" fontId="0" fillId="0" borderId="10" xfId="0" applyBorder="1"/>
    <xf numFmtId="0" fontId="0" fillId="0" borderId="11" xfId="0" applyBorder="1"/>
    <xf numFmtId="14" fontId="0" fillId="0" borderId="3" xfId="0" applyNumberFormat="1" applyBorder="1"/>
    <xf numFmtId="14" fontId="0" fillId="0" borderId="4" xfId="0" applyNumberFormat="1" applyBorder="1"/>
    <xf numFmtId="0" fontId="0" fillId="0" borderId="12" xfId="0" applyFont="1" applyFill="1" applyBorder="1"/>
    <xf numFmtId="0" fontId="0" fillId="6" borderId="14" xfId="0" applyFont="1" applyFill="1" applyBorder="1" applyAlignment="1">
      <alignment wrapText="1"/>
    </xf>
    <xf numFmtId="0" fontId="10" fillId="6" borderId="1" xfId="0" applyFont="1" applyFill="1" applyBorder="1" applyAlignment="1">
      <alignment wrapText="1"/>
    </xf>
    <xf numFmtId="44" fontId="10" fillId="6" borderId="1" xfId="0" applyNumberFormat="1" applyFont="1" applyFill="1" applyBorder="1" applyAlignment="1">
      <alignment wrapText="1"/>
    </xf>
    <xf numFmtId="0" fontId="10" fillId="6" borderId="13" xfId="0" applyFont="1" applyFill="1" applyBorder="1" applyAlignment="1">
      <alignment wrapText="1"/>
    </xf>
    <xf numFmtId="0" fontId="11" fillId="0" borderId="3" xfId="0" applyFont="1" applyBorder="1" applyAlignment="1">
      <alignment wrapText="1"/>
    </xf>
    <xf numFmtId="0" fontId="0" fillId="0" borderId="15" xfId="0" applyBorder="1" applyAlignment="1">
      <alignment wrapText="1"/>
    </xf>
    <xf numFmtId="0" fontId="0" fillId="0" borderId="1" xfId="0" applyFill="1" applyBorder="1" applyAlignment="1">
      <alignment horizontal="center" vertical="center" wrapText="1"/>
    </xf>
    <xf numFmtId="0" fontId="0" fillId="0" borderId="6" xfId="0" applyBorder="1" applyAlignment="1">
      <alignment horizontal="left" vertical="top"/>
    </xf>
  </cellXfs>
  <cellStyles count="5">
    <cellStyle name="Comma" xfId="3" builtinId="3"/>
    <cellStyle name="Currency" xfId="1" builtinId="4"/>
    <cellStyle name="Hyperlink" xfId="2" builtinId="8"/>
    <cellStyle name="Normal" xfId="0" builtinId="0"/>
    <cellStyle name="Percent" xfId="4" builtinId="5"/>
  </cellStyles>
  <dxfs count="33">
    <dxf>
      <font>
        <b val="0"/>
        <i val="0"/>
        <strike val="0"/>
        <condense val="0"/>
        <extend val="0"/>
        <outline val="0"/>
        <shadow val="0"/>
        <u val="none"/>
        <vertAlign val="baseline"/>
        <sz val="11"/>
        <color theme="1"/>
        <name val="Calibri"/>
        <family val="2"/>
        <scheme val="minor"/>
      </font>
      <fill>
        <patternFill patternType="solid">
          <fgColor indexed="64"/>
          <bgColor rgb="FFFFF2CC"/>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numFmt numFmtId="0" formatCode="General"/>
      <fill>
        <patternFill patternType="solid">
          <fgColor indexed="64"/>
          <bgColor rgb="FFFFF2CC"/>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rgb="FFFFF2CC"/>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9" formatCode="m/d/yyyy"/>
      <fill>
        <patternFill patternType="solid">
          <fgColor indexed="64"/>
          <bgColor rgb="FFFFF2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5" formatCode="_(* #,##0_);_(* \(#,##0\);_(* &quot;-&quot;??_);_(@_)"/>
      <alignment horizontal="general" vertical="bottom" textRotation="0" wrapText="1" indent="0" justifyLastLine="0" shrinkToFit="0" readingOrder="0"/>
    </dxf>
    <dxf>
      <font>
        <sz val="10"/>
      </font>
      <alignment horizontal="general" vertical="bottom" textRotation="0" wrapText="1" indent="0" justifyLastLine="0" shrinkToFit="0" readingOrder="0"/>
    </dxf>
    <dxf>
      <font>
        <sz val="10"/>
      </font>
      <alignment horizontal="general" vertical="bottom" textRotation="0" wrapText="1" indent="0" justifyLastLine="0" shrinkToFit="0" readingOrder="0"/>
    </dxf>
    <dxf>
      <font>
        <sz val="10"/>
      </font>
      <alignment horizontal="general" vertical="bottom" textRotation="0" wrapText="1" indent="0" justifyLastLine="0" shrinkToFit="0" readingOrder="0"/>
    </dxf>
    <dxf>
      <font>
        <sz val="10"/>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right style="thin">
          <color indexed="64"/>
        </right>
      </border>
    </dxf>
    <dxf>
      <font>
        <b/>
        <i/>
        <strike val="0"/>
        <condense val="0"/>
        <extend val="0"/>
        <outline val="0"/>
        <shadow val="0"/>
        <u val="none"/>
        <vertAlign val="baseline"/>
        <sz val="11"/>
        <color theme="1"/>
        <name val="Calibri"/>
        <family val="2"/>
        <scheme val="minor"/>
      </font>
      <fill>
        <patternFill patternType="solid">
          <fgColor indexed="64"/>
          <bgColor rgb="FFFFF2CC"/>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color rgb="FFFFFFCC"/>
      <color rgb="FFCC99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28574</xdr:colOff>
      <xdr:row>9</xdr:row>
      <xdr:rowOff>219075</xdr:rowOff>
    </xdr:from>
    <xdr:to>
      <xdr:col>1</xdr:col>
      <xdr:colOff>8000999</xdr:colOff>
      <xdr:row>9</xdr:row>
      <xdr:rowOff>1070934</xdr:rowOff>
    </xdr:to>
    <xdr:pic>
      <xdr:nvPicPr>
        <xdr:cNvPr id="3" name="Picture 2">
          <a:extLst>
            <a:ext uri="{FF2B5EF4-FFF2-40B4-BE49-F238E27FC236}">
              <a16:creationId xmlns:a16="http://schemas.microsoft.com/office/drawing/2014/main" id="{29060877-A9D9-1DB9-B541-6A79A3A258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599" y="2171700"/>
          <a:ext cx="7972425" cy="851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600075</xdr:colOff>
      <xdr:row>21</xdr:row>
      <xdr:rowOff>175532</xdr:rowOff>
    </xdr:to>
    <xdr:pic>
      <xdr:nvPicPr>
        <xdr:cNvPr id="2" name="Picture 1">
          <a:extLst>
            <a:ext uri="{FF2B5EF4-FFF2-40B4-BE49-F238E27FC236}">
              <a16:creationId xmlns:a16="http://schemas.microsoft.com/office/drawing/2014/main" id="{2ADC689D-D74F-4BF7-A36A-8F619D187456}"/>
            </a:ext>
          </a:extLst>
        </xdr:cNvPr>
        <xdr:cNvPicPr>
          <a:picLocks noChangeAspect="1"/>
        </xdr:cNvPicPr>
      </xdr:nvPicPr>
      <xdr:blipFill>
        <a:blip xmlns:r="http://schemas.openxmlformats.org/officeDocument/2006/relationships" r:embed="rId1"/>
        <a:stretch>
          <a:fillRect/>
        </a:stretch>
      </xdr:blipFill>
      <xdr:spPr>
        <a:xfrm>
          <a:off x="0" y="0"/>
          <a:ext cx="9744075" cy="417603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665287-7CF8-4B28-AAF4-6F5029AF8DEC}" name="Data" displayName="Data" ref="A1:AD3" totalsRowShown="0" headerRowDxfId="30" tableBorderDxfId="29">
  <autoFilter ref="A1:AD3" xr:uid="{908C258F-6968-4383-B07B-30161B6012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FC2A0C42-9538-4511-8A2C-C2894B7506A0}" name="PRAPM003_x000a_Contract ID" dataDxfId="28"/>
    <tableColumn id="2" xr3:uid="{9FC1A773-5443-4E6D-80B9-A6BC3218A88E}" name="PRAPM018_x000a_Billing Provider or Org NPI" dataDxfId="27"/>
    <tableColumn id="3" xr3:uid="{2EE4CF2C-24D5-4854-AF94-8BF6E9B2899D}" name="PRAPM004_x000a_Billing Provider or Org Tax ID" dataDxfId="26"/>
    <tableColumn id="4" xr3:uid="{ED731746-87EB-4859-852D-134F09171717}" name="PRAPM008 Billing Provider Last Name or Org" dataDxfId="25"/>
    <tableColumn id="5" xr3:uid="{4CFA1B27-6445-4B10-AF57-0A9F6E5AF173}" name="PRAPM006 Billing Provider First Name" dataDxfId="24"/>
    <tableColumn id="6" xr3:uid="{B5056AD0-418D-492C-9C1E-F0B3F75C6A90}" name="PRAPM101 Billing Provider or Org Entity Type" dataDxfId="23"/>
    <tableColumn id="7" xr3:uid="{D3353304-B6EB-41E1-9453-6986CA7C64F3}" name="PRAPM102_x000a_Line of Business" dataDxfId="22"/>
    <tableColumn id="8" xr3:uid="{947747BC-D6FB-43C3-A8F7-E15A88387ED1}" name="PRAPM103_x000a_Payment Model" dataDxfId="21"/>
    <tableColumn id="9" xr3:uid="{4F3D3101-F3C6-41DD-A569-9AEEC90C31E5}" name="PRAPM104_x000a_Perf. Period Start Date" dataDxfId="20"/>
    <tableColumn id="10" xr3:uid="{09E25DAC-8C19-42A5-8013-48909BB5041D}" name="PRAPM105_x000a_Perf. Period End Date" dataDxfId="19"/>
    <tableColumn id="11" xr3:uid="{4793BDEC-8D2B-436A-9C71-9DA0DA99633D}" name="PRAPM106_x000a_Member Months" dataDxfId="18" dataCellStyle="Comma"/>
    <tableColumn id="12" xr3:uid="{93C0C3B6-307B-45AA-9BA4-5B2F22347A1F}" name="PRAPM107_x000a_Total Primary Care Claims Payments" dataDxfId="17" dataCellStyle="Currency"/>
    <tableColumn id="13" xr3:uid="{5A6A9674-CB81-461B-A8F4-B0D3DBAF9304}" name="PRAPM108_x000a_Total Primary Care Non-Claims Payments" dataDxfId="16" dataCellStyle="Currency"/>
    <tableColumn id="14" xr3:uid="{A8D8275E-B0B9-4FE5-986F-A512C5F1F3D8}" name="PRAPM109_x000a_Total Claims Payments" dataDxfId="15" dataCellStyle="Currency"/>
    <tableColumn id="15" xr3:uid="{44706703-C0CD-43D3-B0E3-9CAB0FFEC76C}" name="PRAPM110_x000a_Total Non-Claims Payments" dataDxfId="14" dataCellStyle="Currency"/>
    <tableColumn id="31" xr3:uid="{8CA07D53-A062-405C-84B7-4C2D71BDE64C}" name="PRAPM201 Hospital indicator"/>
    <tableColumn id="16" xr3:uid="{18DA3FE5-07DE-468C-BFE3-534F18E46C70}" name="Start Date converted" dataDxfId="13" dataCellStyle="Currency">
      <calculatedColumnFormula>DATE(LEFT(I2, 4), MID(I2, 5, 2), RIGHT(I2, 2))</calculatedColumnFormula>
    </tableColumn>
    <tableColumn id="17" xr3:uid="{9449F061-E0A9-4084-85F9-C08CAFDF61D9}" name="End Date converted" dataDxfId="12" dataCellStyle="Currency">
      <calculatedColumnFormula>DATE(LEFT(J2, 4), MID(J2, 5, 2), RIGHT(J2, 2))</calculatedColumnFormula>
    </tableColumn>
    <tableColumn id="18" xr3:uid="{74B435C4-B750-4DDC-9FA4-5A3C4B905D85}" name="Days in year" dataDxfId="11">
      <calculatedColumnFormula>IFERROR((DATEDIF(Q2,R2, "d")+1)-IF(YEAR(Q2)&lt;README!$D$3, DATEDIF(Q2, payment_type_hierarchy_hide!$H$2, "d")+1, 0) - IF(YEAR(R2)&gt;(README!$D$3), DATEDIF(payment_type_hierarchy_hide!$H$3, R2, "d")+1, 0), "")</calculatedColumnFormula>
    </tableColumn>
    <tableColumn id="19" xr3:uid="{BCB505F8-E47C-48E0-9DE1-C3C9AA98C4E0}" name="Total days" dataDxfId="10">
      <calculatedColumnFormula>IFERROR(DATEDIF(Q2,R2, "d")+1, "")</calculatedColumnFormula>
    </tableColumn>
    <tableColumn id="20" xr3:uid="{C0350BC8-2E9F-42C8-9582-440DC0E18F79}" name="Percent in reporting year" dataDxfId="9">
      <calculatedColumnFormula>S2/T2</calculatedColumnFormula>
    </tableColumn>
    <tableColumn id="21" xr3:uid="{9AA342D7-45C6-4E6B-931B-0FEAD7D9A625}" name="Prorated PRAPM106 Member Months (only for those with entries)" dataDxfId="8">
      <calculatedColumnFormula>U2*K2</calculatedColumnFormula>
    </tableColumn>
    <tableColumn id="22" xr3:uid="{6E6F2B78-8D64-48FF-9852-A4C449D4B679}" name="Prorated &amp; abs value PRAPM107_x000a_Total Primary Care Claims Payments" dataDxfId="7">
      <calculatedColumnFormula>IFERROR(ABS(L2)*$U2, "")</calculatedColumnFormula>
    </tableColumn>
    <tableColumn id="23" xr3:uid="{6B5AE49A-A06D-424A-BA59-4EB46B4B0E68}" name="Prorated &amp; abs value PRAPM108_x000a_Total Primary Care Non-Claims Payments" dataDxfId="6">
      <calculatedColumnFormula>IFERROR(ABS(M2)*$U2, "")</calculatedColumnFormula>
    </tableColumn>
    <tableColumn id="24" xr3:uid="{CC8ACB3E-C156-45E4-83E6-0E7B431C5C7E}" name="Prorated &amp; abs value PRAPM109_x000a_Total Claims Payments" dataDxfId="5">
      <calculatedColumnFormula>IFERROR(ABS(N2)*$U2, "")</calculatedColumnFormula>
    </tableColumn>
    <tableColumn id="25" xr3:uid="{3F492DD5-64FA-4D81-885F-D55310250636}" name="Prorated &amp; abs value_x000a_PRAPM110_x000a_Total Non-Claims Payments" dataDxfId="4">
      <calculatedColumnFormula>IFERROR(ABS(O2)*$U2, "")</calculatedColumnFormula>
    </tableColumn>
    <tableColumn id="26" xr3:uid="{F4A0CBC5-FA62-4598-9AEA-B3B435A38C78}" name="Mapping to most advanced LAN category - step 1" dataDxfId="3" dataCellStyle="Comma">
      <calculatedColumnFormula>IFERROR(VLOOKUP(H2, payment_type_hierarchy_hide!$A$2:$B$14, 2, FALSE), "-")</calculatedColumnFormula>
    </tableColumn>
    <tableColumn id="27" xr3:uid="{14BEA8F9-3888-4B72-BF80-525519D1C245}" name="Mapping to most advanced LAN category - step 2" dataDxfId="2">
      <calculatedColumnFormula>_xlfn.MAXIFS($AA$2:$AA$87416,$A$2:$A$87416,A2,$G$2:$G$87416,G2)</calculatedColumnFormula>
    </tableColumn>
    <tableColumn id="28" xr3:uid="{E13EE522-F3E3-4AF4-B37B-1E8F3B061F37}" name="Most advanced LAN category" dataDxfId="1">
      <calculatedColumnFormula>IF(ISNUMBER(AA2), INDEX(payment_type_hierarchy_hide!$A$2:$A$14,AB2), 1)</calculatedColumnFormula>
    </tableColumn>
    <tableColumn id="29" xr3:uid="{822F0B8B-E902-4B27-89B5-93D658BB146E}" name="flag for unique contract" dataDxfId="0">
      <calculatedColumnFormula>IF(COUNTIF($A$2:A3, A2 )=1, 1, 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oha/HPA/ANALYTICS/APAC%20Page%20Docs/409-025-0125-App-1-2.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26CBD-41D8-40B3-A204-17F6335AD611}">
  <dimension ref="A1:D14"/>
  <sheetViews>
    <sheetView showGridLines="0" tabSelected="1" workbookViewId="0">
      <selection activeCell="D6" sqref="D6"/>
    </sheetView>
  </sheetViews>
  <sheetFormatPr defaultRowHeight="15" x14ac:dyDescent="0.25"/>
  <cols>
    <col min="1" max="1" width="8.7109375" style="1" customWidth="1"/>
    <col min="2" max="2" width="126.140625" style="1" customWidth="1"/>
    <col min="4" max="4" width="20.85546875" customWidth="1"/>
  </cols>
  <sheetData>
    <row r="1" spans="2:4" ht="15.75" thickBot="1" x14ac:dyDescent="0.3"/>
    <row r="2" spans="2:4" ht="15.75" x14ac:dyDescent="0.25">
      <c r="B2" s="15" t="s">
        <v>121</v>
      </c>
      <c r="D2" s="66" t="s">
        <v>120</v>
      </c>
    </row>
    <row r="3" spans="2:4" ht="15.75" thickBot="1" x14ac:dyDescent="0.3">
      <c r="B3" s="82" t="s">
        <v>127</v>
      </c>
      <c r="D3" s="67">
        <v>2023</v>
      </c>
    </row>
    <row r="4" spans="2:4" ht="15.75" thickBot="1" x14ac:dyDescent="0.3">
      <c r="B4" s="12" t="s">
        <v>124</v>
      </c>
      <c r="D4" s="68"/>
    </row>
    <row r="6" spans="2:4" ht="15.75" thickBot="1" x14ac:dyDescent="0.3"/>
    <row r="7" spans="2:4" ht="30" x14ac:dyDescent="0.25">
      <c r="B7" s="83" t="s">
        <v>122</v>
      </c>
    </row>
    <row r="8" spans="2:4" x14ac:dyDescent="0.25">
      <c r="B8" s="13" t="s">
        <v>115</v>
      </c>
    </row>
    <row r="9" spans="2:4" x14ac:dyDescent="0.25">
      <c r="B9" s="13" t="s">
        <v>116</v>
      </c>
    </row>
    <row r="10" spans="2:4" ht="90" customHeight="1" thickBot="1" x14ac:dyDescent="0.3">
      <c r="B10" s="85" t="s">
        <v>128</v>
      </c>
    </row>
    <row r="11" spans="2:4" x14ac:dyDescent="0.25">
      <c r="B11"/>
    </row>
    <row r="13" spans="2:4" x14ac:dyDescent="0.25">
      <c r="B13" s="1" t="s">
        <v>125</v>
      </c>
    </row>
    <row r="14" spans="2:4" x14ac:dyDescent="0.25">
      <c r="B14" s="14" t="s">
        <v>126</v>
      </c>
    </row>
  </sheetData>
  <hyperlinks>
    <hyperlink ref="B14" r:id="rId1" xr:uid="{BFEF2450-750A-418B-9EFC-7BF0EC072F6A}"/>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DD14-E713-4A90-9D04-376A4328CB83}">
  <sheetPr>
    <tabColor rgb="FFFFC000"/>
  </sheetPr>
  <dimension ref="A1:AD3"/>
  <sheetViews>
    <sheetView zoomScale="80" zoomScaleNormal="80" workbookViewId="0">
      <pane ySplit="1" topLeftCell="A2" activePane="bottomLeft" state="frozen"/>
      <selection pane="bottomLeft" activeCell="P4" sqref="P4"/>
    </sheetView>
  </sheetViews>
  <sheetFormatPr defaultRowHeight="15" x14ac:dyDescent="0.25"/>
  <cols>
    <col min="1" max="1" width="13.7109375" style="2" customWidth="1"/>
    <col min="2" max="10" width="13.7109375" customWidth="1"/>
    <col min="11" max="11" width="13.7109375" style="6" customWidth="1"/>
    <col min="12" max="16" width="13.7109375" customWidth="1"/>
    <col min="17" max="22" width="13.7109375" style="64" customWidth="1"/>
    <col min="23" max="23" width="13.7109375" style="65" customWidth="1"/>
    <col min="24" max="24" width="17.28515625" style="65" bestFit="1" customWidth="1"/>
    <col min="25" max="25" width="13.7109375" style="65" customWidth="1"/>
    <col min="26" max="26" width="19.140625" style="65" bestFit="1" customWidth="1"/>
    <col min="27" max="30" width="13.7109375" style="64" customWidth="1"/>
  </cols>
  <sheetData>
    <row r="1" spans="1:30" ht="75.75" customHeight="1" x14ac:dyDescent="0.25">
      <c r="A1" s="46" t="s">
        <v>5</v>
      </c>
      <c r="B1" s="21" t="s">
        <v>6</v>
      </c>
      <c r="C1" s="21" t="s">
        <v>7</v>
      </c>
      <c r="D1" s="21" t="s">
        <v>8</v>
      </c>
      <c r="E1" s="21" t="s">
        <v>9</v>
      </c>
      <c r="F1" s="21" t="s">
        <v>10</v>
      </c>
      <c r="G1" s="21" t="s">
        <v>76</v>
      </c>
      <c r="H1" s="21" t="s">
        <v>11</v>
      </c>
      <c r="I1" s="21" t="s">
        <v>12</v>
      </c>
      <c r="J1" s="21" t="s">
        <v>13</v>
      </c>
      <c r="K1" s="21" t="s">
        <v>14</v>
      </c>
      <c r="L1" s="21" t="s">
        <v>15</v>
      </c>
      <c r="M1" s="21" t="s">
        <v>16</v>
      </c>
      <c r="N1" s="21" t="s">
        <v>17</v>
      </c>
      <c r="O1" s="21" t="s">
        <v>18</v>
      </c>
      <c r="P1" s="21" t="s">
        <v>123</v>
      </c>
      <c r="Q1" s="79" t="s">
        <v>113</v>
      </c>
      <c r="R1" s="79" t="s">
        <v>114</v>
      </c>
      <c r="S1" s="79" t="s">
        <v>117</v>
      </c>
      <c r="T1" s="79" t="s">
        <v>107</v>
      </c>
      <c r="U1" s="79" t="s">
        <v>118</v>
      </c>
      <c r="V1" s="79" t="s">
        <v>23</v>
      </c>
      <c r="W1" s="80" t="s">
        <v>100</v>
      </c>
      <c r="X1" s="80" t="s">
        <v>101</v>
      </c>
      <c r="Y1" s="80" t="s">
        <v>102</v>
      </c>
      <c r="Z1" s="80" t="s">
        <v>103</v>
      </c>
      <c r="AA1" s="79" t="s">
        <v>105</v>
      </c>
      <c r="AB1" s="79" t="s">
        <v>106</v>
      </c>
      <c r="AC1" s="79" t="s">
        <v>104</v>
      </c>
      <c r="AD1" s="81" t="s">
        <v>109</v>
      </c>
    </row>
    <row r="2" spans="1:30" x14ac:dyDescent="0.25">
      <c r="A2"/>
      <c r="K2"/>
      <c r="Q2" s="58" t="e">
        <f>DATE(LEFT(I2, 4), MID(I2, 5, 2), RIGHT(I2, 2))</f>
        <v>#VALUE!</v>
      </c>
      <c r="R2" s="58" t="e">
        <f>DATE(LEFT(J2, 4), MID(J2, 5, 2), RIGHT(J2, 2))</f>
        <v>#VALUE!</v>
      </c>
      <c r="S2" s="59" t="str">
        <f>IFERROR((DATEDIF(Q2,R2, "d")+1)-IF(YEAR(Q2)&lt;README!$D$3, DATEDIF(Q2, payment_type_hierarchy_hide!$H$2, "d")+1, 0) - IF(YEAR(R2)&gt;(README!$D$3), DATEDIF(payment_type_hierarchy_hide!$H$3, R2, "d")+1, 0), "")</f>
        <v/>
      </c>
      <c r="T2" s="59" t="str">
        <f>IFERROR(DATEDIF(Q2,R2, "d")+1, "")</f>
        <v/>
      </c>
      <c r="U2" s="60" t="e">
        <f>S2/T2</f>
        <v>#VALUE!</v>
      </c>
      <c r="V2" s="60" t="e">
        <f>U2*K2</f>
        <v>#VALUE!</v>
      </c>
      <c r="W2" s="61" t="str">
        <f t="shared" ref="W2:Y3" si="0">IFERROR(ABS(L2)*$U2, "")</f>
        <v/>
      </c>
      <c r="X2" s="61" t="str">
        <f t="shared" si="0"/>
        <v/>
      </c>
      <c r="Y2" s="61" t="str">
        <f t="shared" si="0"/>
        <v/>
      </c>
      <c r="Z2" s="61" t="str">
        <f t="shared" ref="Z2" si="1">IFERROR(ABS(O2)*$U2, "")</f>
        <v/>
      </c>
      <c r="AA2" s="62" t="str">
        <f>IFERROR(VLOOKUP(H2, payment_type_hierarchy_hide!$A$2:$B$14, 2, FALSE), "-")</f>
        <v>-</v>
      </c>
      <c r="AB2" s="60">
        <f>_xlfn.MAXIFS($AA$2:$AA$87416,$A$2:$A$87416,A2,$G$2:$G$87416,G2)</f>
        <v>0</v>
      </c>
      <c r="AC2" s="63">
        <f>IF(ISNUMBER(AA2), INDEX(payment_type_hierarchy_hide!$A$2:$A$14,AB2), 1)</f>
        <v>1</v>
      </c>
      <c r="AD2" s="78">
        <f>IF(COUNTIF($A$2:A3, A2 )=1, 1, 0)</f>
        <v>0</v>
      </c>
    </row>
    <row r="3" spans="1:30" x14ac:dyDescent="0.25">
      <c r="A3"/>
      <c r="K3"/>
      <c r="Q3" s="58" t="e">
        <f>DATE(LEFT(I3, 4), MID(I3, 5, 2), RIGHT(I3, 2))</f>
        <v>#VALUE!</v>
      </c>
      <c r="R3" s="58" t="e">
        <f>DATE(LEFT(J3, 4), MID(J3, 5, 2), RIGHT(J3, 2))</f>
        <v>#VALUE!</v>
      </c>
      <c r="S3" s="59" t="str">
        <f>IFERROR((DATEDIF(Q3,R3, "d")+1)-IF(YEAR(Q3)&lt;README!$D$3, DATEDIF(Q3, payment_type_hierarchy_hide!$H$2, "d")+1, 0) - IF(YEAR(R3)&gt;(README!$D$3), DATEDIF(payment_type_hierarchy_hide!$H$3, R3, "d")+1, 0), "")</f>
        <v/>
      </c>
      <c r="T3" s="59" t="str">
        <f>IFERROR(DATEDIF(Q3,R3, "d")+1, "")</f>
        <v/>
      </c>
      <c r="U3" s="60" t="e">
        <f>S3/T3</f>
        <v>#VALUE!</v>
      </c>
      <c r="V3" s="60" t="e">
        <f>U3*K3</f>
        <v>#VALUE!</v>
      </c>
      <c r="W3" s="61" t="str">
        <f t="shared" si="0"/>
        <v/>
      </c>
      <c r="X3" s="61" t="str">
        <f t="shared" si="0"/>
        <v/>
      </c>
      <c r="Y3" s="61" t="str">
        <f t="shared" si="0"/>
        <v/>
      </c>
      <c r="Z3" s="61" t="str">
        <f>IFERROR(ABS(O3)*$U3, "")</f>
        <v/>
      </c>
      <c r="AA3" s="62" t="str">
        <f>IFERROR(VLOOKUP(H3, payment_type_hierarchy_hide!$A$2:$B$14, 2, FALSE), "-")</f>
        <v>-</v>
      </c>
      <c r="AB3" s="60">
        <f>_xlfn.MAXIFS($AA$2:$AA$87416,$A$2:$A$87416,A3,$G$2:$G$87416,G3)</f>
        <v>0</v>
      </c>
      <c r="AC3" s="63">
        <f>IF(ISNUMBER(AA3), INDEX(payment_type_hierarchy_hide!$A$2:$A$14,AB3), 1)</f>
        <v>1</v>
      </c>
      <c r="AD3" s="78">
        <f>IF(COUNTIF($A$2:A3, A3 )=1, 1, 0)</f>
        <v>0</v>
      </c>
    </row>
  </sheetData>
  <sortState xmlns:xlrd2="http://schemas.microsoft.com/office/spreadsheetml/2017/richdata2" ref="A2:O2">
    <sortCondition ref="A2"/>
    <sortCondition ref="H2"/>
  </sortState>
  <conditionalFormatting sqref="A1">
    <cfRule type="duplicateValues" dxfId="32" priority="3"/>
    <cfRule type="duplicateValues" dxfId="31" priority="4"/>
  </conditionalFormatting>
  <pageMargins left="0.7" right="0.7" top="0.75" bottom="0.75" header="0.3" footer="0.3"/>
  <pageSetup orientation="portrait" r:id="rId1"/>
  <ignoredErrors>
    <ignoredError sqref="Q2:R2 U2:AC2 U3:V3 Q3:R3" evalError="1"/>
    <ignoredError sqref="AD3"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59D3-A44D-487D-867B-51C0B51F03DE}">
  <dimension ref="A1:P78"/>
  <sheetViews>
    <sheetView showGridLines="0" topLeftCell="A10" zoomScale="90" zoomScaleNormal="90" workbookViewId="0">
      <selection activeCell="E11" sqref="E11"/>
    </sheetView>
  </sheetViews>
  <sheetFormatPr defaultRowHeight="15" x14ac:dyDescent="0.25"/>
  <cols>
    <col min="1" max="1" width="21.85546875" style="3" customWidth="1"/>
    <col min="2" max="2" width="15.42578125" customWidth="1"/>
    <col min="3" max="3" width="18.28515625" customWidth="1"/>
    <col min="4" max="4" width="19.42578125" customWidth="1"/>
    <col min="5" max="5" width="16.140625" bestFit="1" customWidth="1"/>
    <col min="6" max="6" width="13" customWidth="1"/>
    <col min="7" max="7" width="19.5703125" customWidth="1"/>
    <col min="8" max="8" width="14.42578125" customWidth="1"/>
    <col min="9" max="9" width="10.140625" customWidth="1"/>
    <col min="10" max="10" width="18.140625" customWidth="1"/>
    <col min="11" max="11" width="15.42578125" customWidth="1"/>
    <col min="12" max="12" width="9.28515625" style="6" customWidth="1"/>
    <col min="13" max="13" width="19.28515625" customWidth="1"/>
    <col min="14" max="14" width="15.85546875" customWidth="1"/>
    <col min="15" max="15" width="13.5703125" bestFit="1" customWidth="1"/>
    <col min="16" max="16" width="13.28515625" customWidth="1"/>
    <col min="17" max="26" width="10.42578125" bestFit="1" customWidth="1"/>
  </cols>
  <sheetData>
    <row r="1" spans="1:12" x14ac:dyDescent="0.25">
      <c r="A1" s="22" t="s">
        <v>19</v>
      </c>
    </row>
    <row r="2" spans="1:12" s="11" customFormat="1" x14ac:dyDescent="0.25">
      <c r="L2" s="18"/>
    </row>
    <row r="3" spans="1:12" s="11" customFormat="1" x14ac:dyDescent="0.25">
      <c r="A3" s="23" t="s">
        <v>20</v>
      </c>
      <c r="L3" s="18"/>
    </row>
    <row r="4" spans="1:12" s="1" customFormat="1" x14ac:dyDescent="0.25">
      <c r="B4" s="24" t="s">
        <v>78</v>
      </c>
      <c r="L4" s="19"/>
    </row>
    <row r="5" spans="1:12" s="6" customFormat="1" x14ac:dyDescent="0.25">
      <c r="B5" s="6" t="s">
        <v>81</v>
      </c>
    </row>
    <row r="6" spans="1:12" s="6" customFormat="1" x14ac:dyDescent="0.25">
      <c r="B6" s="6" t="s">
        <v>21</v>
      </c>
    </row>
    <row r="7" spans="1:12" s="6" customFormat="1" x14ac:dyDescent="0.25">
      <c r="B7" s="6" t="s">
        <v>22</v>
      </c>
    </row>
    <row r="8" spans="1:12" s="6" customFormat="1" x14ac:dyDescent="0.25">
      <c r="B8" s="40"/>
    </row>
    <row r="9" spans="1:12" s="6" customFormat="1" x14ac:dyDescent="0.25"/>
    <row r="10" spans="1:12" s="6" customFormat="1" x14ac:dyDescent="0.25">
      <c r="A10" s="36" t="s">
        <v>79</v>
      </c>
      <c r="D10" s="36" t="s">
        <v>29</v>
      </c>
    </row>
    <row r="11" spans="1:12" s="6" customFormat="1" x14ac:dyDescent="0.25">
      <c r="A11" s="26" t="s">
        <v>25</v>
      </c>
      <c r="B11" s="48">
        <f>SUMIF(Data[PRAPM102
Line of Business],"COMM",Data[PRAPM109
Total Claims Payments])+SUMIF(Data[PRAPM102
Line of Business],"COMM",Data[PRAPM110
Total Non-Claims Payments])</f>
        <v>0</v>
      </c>
      <c r="D11" s="26" t="s">
        <v>25</v>
      </c>
      <c r="E11" s="48">
        <f>SUMIF(Data[PRAPM102
Line of Business],"COMM",Data[Prorated &amp; abs value PRAPM109
Total Claims Payments])+SUMIF(Data[PRAPM102
Line of Business],"COMM",Data[Prorated &amp; abs value
PRAPM110
Total Non-Claims Payments])</f>
        <v>0</v>
      </c>
      <c r="F11" s="40"/>
      <c r="G11" s="40"/>
    </row>
    <row r="12" spans="1:12" s="6" customFormat="1" x14ac:dyDescent="0.25">
      <c r="A12" s="26" t="s">
        <v>24</v>
      </c>
      <c r="B12" s="48">
        <f>SUMIF(Data[PRAPM102
Line of Business],"MADV",Data[PRAPM109
Total Claims Payments])+SUMIF(Data[PRAPM102
Line of Business],"MADV",Data[PRAPM110
Total Non-Claims Payments])</f>
        <v>0</v>
      </c>
      <c r="C12" s="6" t="s">
        <v>89</v>
      </c>
      <c r="D12" s="26" t="s">
        <v>24</v>
      </c>
      <c r="E12" s="48">
        <f>SUMIF(Data[PRAPM102
Line of Business],"MADV",Data[Prorated &amp; abs value PRAPM109
Total Claims Payments])+SUMIF(Data[PRAPM102
Line of Business],"MADV",Data[Prorated &amp; abs value
PRAPM110
Total Non-Claims Payments])</f>
        <v>0</v>
      </c>
    </row>
    <row r="13" spans="1:12" s="6" customFormat="1" x14ac:dyDescent="0.25">
      <c r="A13" s="26" t="s">
        <v>28</v>
      </c>
      <c r="B13" s="48">
        <f>SUMIF(Data[PRAPM102
Line of Business],"CCO",Data[PRAPM109
Total Claims Payments])+SUMIF(Data[PRAPM102
Line of Business],"CCO",Data[PRAPM110
Total Non-Claims Payments])</f>
        <v>0</v>
      </c>
      <c r="C13" s="6" t="s">
        <v>88</v>
      </c>
      <c r="D13" s="26" t="s">
        <v>28</v>
      </c>
      <c r="E13" s="48">
        <f>SUMIF(Data[PRAPM102
Line of Business],"CCO",Data[Prorated &amp; abs value PRAPM109
Total Claims Payments])+SUMIF(Data[PRAPM102
Line of Business],"CCO",Data[Prorated &amp; abs value
PRAPM110
Total Non-Claims Payments])</f>
        <v>0</v>
      </c>
    </row>
    <row r="14" spans="1:12" s="6" customFormat="1" x14ac:dyDescent="0.25">
      <c r="A14" s="26" t="s">
        <v>26</v>
      </c>
      <c r="B14" s="48">
        <f>SUMIF(Data[PRAPM102
Line of Business],"PEBB",Data[PRAPM109
Total Claims Payments])+SUMIF(Data[PRAPM102
Line of Business],"PEBB",Data[PRAPM110
Total Non-Claims Payments])</f>
        <v>0</v>
      </c>
      <c r="C14" s="6" t="s">
        <v>110</v>
      </c>
      <c r="D14" s="26" t="s">
        <v>26</v>
      </c>
      <c r="E14" s="48">
        <f>SUMIF(Data[PRAPM102
Line of Business],"PEBB",Data[Prorated &amp; abs value PRAPM109
Total Claims Payments])+SUMIF(Data[PRAPM102
Line of Business],"PEBB",Data[Prorated &amp; abs value
PRAPM110
Total Non-Claims Payments])</f>
        <v>0</v>
      </c>
    </row>
    <row r="15" spans="1:12" s="6" customFormat="1" x14ac:dyDescent="0.25">
      <c r="A15" s="26" t="s">
        <v>27</v>
      </c>
      <c r="B15" s="48">
        <f>SUMIF(Data[PRAPM102
Line of Business],"OEBB",Data[PRAPM109
Total Claims Payments])+SUMIF(Data[PRAPM102
Line of Business],"OEBB",Data[PRAPM110
Total Non-Claims Payments])</f>
        <v>0</v>
      </c>
      <c r="C15" s="30" t="s">
        <v>111</v>
      </c>
      <c r="D15" s="26" t="s">
        <v>27</v>
      </c>
      <c r="E15" s="48">
        <f>SUMIF(Data[PRAPM102
Line of Business],"OEBB",Data[Prorated &amp; abs value PRAPM109
Total Claims Payments])+SUMIF(Data[PRAPM102
Line of Business],"OEBB",Data[Prorated &amp; abs value
PRAPM110
Total Non-Claims Payments])</f>
        <v>0</v>
      </c>
    </row>
    <row r="16" spans="1:12" s="6" customFormat="1" x14ac:dyDescent="0.25">
      <c r="B16" s="56"/>
    </row>
    <row r="17" spans="1:16" s="6" customFormat="1" x14ac:dyDescent="0.25">
      <c r="A17" s="42"/>
    </row>
    <row r="18" spans="1:16" s="6" customFormat="1" x14ac:dyDescent="0.25">
      <c r="A18" s="35" t="s">
        <v>30</v>
      </c>
    </row>
    <row r="19" spans="1:16" s="6" customFormat="1" ht="18.75" x14ac:dyDescent="0.25">
      <c r="A19" s="29"/>
      <c r="B19" s="27" cm="1">
        <f t="array" ref="B19">SUMPRODUCT(IF(Data[PRAPM003
Contract ID]&lt;&gt;"",1/COUNTIF(Data[PRAPM003
Contract ID],Data[PRAPM003
Contract ID]),0))</f>
        <v>0</v>
      </c>
      <c r="C19" s="40"/>
      <c r="E19" s="50"/>
    </row>
    <row r="20" spans="1:16" s="6" customFormat="1" x14ac:dyDescent="0.25">
      <c r="A20" s="29"/>
      <c r="B20" s="19"/>
    </row>
    <row r="21" spans="1:16" s="6" customFormat="1" x14ac:dyDescent="0.25">
      <c r="A21" s="29"/>
      <c r="C21" s="44"/>
      <c r="D21" s="30"/>
      <c r="E21" s="30"/>
      <c r="F21" s="30"/>
    </row>
    <row r="22" spans="1:16" s="6" customFormat="1" ht="43.5" customHeight="1" x14ac:dyDescent="0.25">
      <c r="A22" s="84" t="s">
        <v>31</v>
      </c>
      <c r="B22" s="84"/>
      <c r="C22" s="51"/>
      <c r="D22" s="51"/>
      <c r="E22" s="44"/>
      <c r="F22" s="30"/>
    </row>
    <row r="23" spans="1:16" s="6" customFormat="1" x14ac:dyDescent="0.25">
      <c r="A23" s="49" t="s">
        <v>1</v>
      </c>
      <c r="B23" s="27" cm="1">
        <f t="array" ref="B23">SUM(--(FREQUENCY(IF(Data[PRAPM003
Contract ID]&lt;&gt;"", IF(Data[PRAPM102
Line of Business]=Summary_calculations!A23,MATCH(Data[PRAPM003
Contract ID],Data[PRAPM003
Contract ID],0))),ROW(Data[PRAPM003
Contract ID])-ROW(Data!$A$2)+1)&gt;0))</f>
        <v>0</v>
      </c>
      <c r="C23" s="30"/>
      <c r="D23" s="30"/>
      <c r="E23" s="30"/>
      <c r="F23" s="30"/>
    </row>
    <row r="24" spans="1:16" s="6" customFormat="1" x14ac:dyDescent="0.25">
      <c r="A24" s="49" t="s">
        <v>89</v>
      </c>
      <c r="B24" s="27" cm="1">
        <f t="array" ref="B24">SUM(--(FREQUENCY(IF(Data[PRAPM003
Contract ID]&lt;&gt;"", IF(Data[PRAPM102
Line of Business]=Summary_calculations!A24,MATCH(Data[PRAPM003
Contract ID],Data[PRAPM003
Contract ID],0))),ROW(Data[PRAPM003
Contract ID])-ROW(Data!$A$2)+1)&gt;0))</f>
        <v>0</v>
      </c>
      <c r="C24" s="30"/>
      <c r="D24" s="30"/>
      <c r="E24" s="30"/>
      <c r="F24" s="30"/>
    </row>
    <row r="25" spans="1:16" s="6" customFormat="1" x14ac:dyDescent="0.25">
      <c r="A25" s="49" t="s">
        <v>88</v>
      </c>
      <c r="B25" s="27" cm="1">
        <f t="array" ref="B25">SUM(--(FREQUENCY(IF(Data[PRAPM003
Contract ID]&lt;&gt;"", IF(Data[PRAPM102
Line of Business]=Summary_calculations!A25,MATCH(Data[PRAPM003
Contract ID],Data[PRAPM003
Contract ID],0))),ROW(Data[PRAPM003
Contract ID])-ROW(Data!$A$2)+1)&gt;0))</f>
        <v>0</v>
      </c>
      <c r="C25" s="30"/>
      <c r="D25" s="30"/>
      <c r="E25" s="30"/>
      <c r="F25" s="30"/>
    </row>
    <row r="26" spans="1:16" s="6" customFormat="1" x14ac:dyDescent="0.25">
      <c r="A26" s="49" t="s">
        <v>110</v>
      </c>
      <c r="B26" s="27" cm="1">
        <f t="array" ref="B26">SUM(--(FREQUENCY(IF(Data[PRAPM003
Contract ID]&lt;&gt;"", IF(Data[PRAPM102
Line of Business]=Summary_calculations!A26,MATCH(Data[PRAPM003
Contract ID],Data[PRAPM003
Contract ID],0))),ROW(Data[PRAPM003
Contract ID])-ROW(Data!$A$2)+1)&gt;0))</f>
        <v>0</v>
      </c>
      <c r="C26" s="30"/>
      <c r="D26" s="30"/>
      <c r="E26" s="30"/>
      <c r="F26" s="30"/>
    </row>
    <row r="27" spans="1:16" s="6" customFormat="1" x14ac:dyDescent="0.25">
      <c r="A27" s="49" t="s">
        <v>111</v>
      </c>
      <c r="B27" s="27" cm="1">
        <f t="array" ref="B27">SUM(--(FREQUENCY(IF(Data[PRAPM003
Contract ID]&lt;&gt;"", IF(Data[PRAPM102
Line of Business]=Summary_calculations!A27,MATCH(Data[PRAPM003
Contract ID],Data[PRAPM003
Contract ID],0))),ROW(Data[PRAPM003
Contract ID])-ROW(Data!$A$2)+1)&gt;0))</f>
        <v>0</v>
      </c>
      <c r="C27" s="52"/>
      <c r="D27" s="52"/>
      <c r="E27" s="30"/>
      <c r="F27" s="30"/>
      <c r="O27" s="9"/>
      <c r="P27" s="8"/>
    </row>
    <row r="28" spans="1:16" s="6" customFormat="1" x14ac:dyDescent="0.25">
      <c r="A28" s="28"/>
      <c r="B28" s="30"/>
      <c r="C28" s="52"/>
      <c r="D28" s="52"/>
      <c r="E28" s="30"/>
      <c r="F28" s="30"/>
      <c r="O28" s="31"/>
      <c r="P28" s="20"/>
    </row>
    <row r="29" spans="1:16" s="6" customFormat="1" x14ac:dyDescent="0.25">
      <c r="B29" s="30"/>
      <c r="C29" s="52"/>
      <c r="D29" s="52"/>
      <c r="E29" s="30"/>
      <c r="F29" s="30"/>
      <c r="O29" s="31"/>
      <c r="P29" s="20"/>
    </row>
    <row r="30" spans="1:16" s="6" customFormat="1" x14ac:dyDescent="0.25">
      <c r="A30" s="35" t="s">
        <v>32</v>
      </c>
      <c r="B30" s="30"/>
      <c r="C30" s="20"/>
      <c r="D30" s="20"/>
      <c r="O30" s="31"/>
      <c r="P30" s="20"/>
    </row>
    <row r="31" spans="1:16" x14ac:dyDescent="0.25">
      <c r="A31" s="45" t="s">
        <v>112</v>
      </c>
    </row>
    <row r="32" spans="1:16" s="6" customFormat="1" x14ac:dyDescent="0.25">
      <c r="A32" s="4" t="s">
        <v>33</v>
      </c>
      <c r="B32" s="5"/>
      <c r="C32" s="5"/>
      <c r="D32" s="5"/>
    </row>
    <row r="33" spans="1:14" s="6" customFormat="1" x14ac:dyDescent="0.25">
      <c r="A33" s="4" t="s">
        <v>85</v>
      </c>
      <c r="B33" s="5"/>
      <c r="C33" s="7"/>
      <c r="D33" s="7"/>
    </row>
    <row r="34" spans="1:14" s="6" customFormat="1" x14ac:dyDescent="0.25">
      <c r="A34" s="4" t="s">
        <v>34</v>
      </c>
    </row>
    <row r="35" spans="1:14" s="6" customFormat="1" x14ac:dyDescent="0.25">
      <c r="A35" s="4" t="s">
        <v>35</v>
      </c>
    </row>
    <row r="36" spans="1:14" s="6" customFormat="1" x14ac:dyDescent="0.25">
      <c r="A36" s="4"/>
    </row>
    <row r="37" spans="1:14" s="6" customFormat="1" x14ac:dyDescent="0.25">
      <c r="A37" s="32" t="s">
        <v>36</v>
      </c>
      <c r="D37" s="32" t="s">
        <v>50</v>
      </c>
      <c r="G37" s="32" t="s">
        <v>47</v>
      </c>
      <c r="J37" s="32" t="s">
        <v>48</v>
      </c>
      <c r="M37" s="32" t="s">
        <v>49</v>
      </c>
    </row>
    <row r="38" spans="1:14" s="6" customFormat="1" x14ac:dyDescent="0.25">
      <c r="A38" s="33" t="s">
        <v>82</v>
      </c>
      <c r="B38" s="47">
        <f>SUMIFS(Data[Prorated &amp; abs value PRAPM109
Total Claims Payments],Data[PRAPM102
Line of Business], "COMM",Data[Most advanced LAN category], "1")+SUMIFS(Data[Prorated &amp; abs value
PRAPM110
Total Non-Claims Payments],Data[PRAPM102
Line of Business], "COMM",Data[Most advanced LAN category], "1")</f>
        <v>0</v>
      </c>
      <c r="C38" s="40"/>
      <c r="D38" s="33" t="s">
        <v>82</v>
      </c>
      <c r="E38" s="47">
        <f>SUMIFS(Data[Prorated &amp; abs value PRAPM109
Total Claims Payments],Data[PRAPM102
Line of Business], "MADV",Data[Most advanced LAN category], "1")+SUMIFS(Data[Prorated &amp; abs value
PRAPM110
Total Non-Claims Payments],Data[PRAPM102
Line of Business], "MADV",Data[Most advanced LAN category], "1")</f>
        <v>0</v>
      </c>
      <c r="G38" s="33" t="s">
        <v>82</v>
      </c>
      <c r="H38" s="47">
        <f>SUMIFS(Data[Prorated &amp; abs value PRAPM109
Total Claims Payments],Data[PRAPM102
Line of Business], "CCO",Data[Most advanced LAN category], "1")+SUMIFS(Data[Prorated &amp; abs value
PRAPM110
Total Non-Claims Payments],Data[PRAPM102
Line of Business], "CCO",Data[Most advanced LAN category], "1")</f>
        <v>0</v>
      </c>
      <c r="J38" s="33" t="s">
        <v>82</v>
      </c>
      <c r="K38" s="47">
        <f>SUMIFS(Data[Prorated &amp; abs value PRAPM109
Total Claims Payments],Data[PRAPM102
Line of Business], "PEBB",Data[Most advanced LAN category], "1")+SUMIFS(Data[Prorated &amp; abs value
PRAPM110
Total Non-Claims Payments],Data[PRAPM102
Line of Business], "PEBB",Data[Most advanced LAN category], "1")</f>
        <v>0</v>
      </c>
      <c r="M38" s="33" t="s">
        <v>82</v>
      </c>
      <c r="N38" s="47">
        <f>SUMIFS(Data[Prorated &amp; abs value PRAPM109
Total Claims Payments],Data[PRAPM102
Line of Business], "OEBB",Data[Most advanced LAN category], "1")+SUMIFS(Data[Prorated &amp; abs value
PRAPM110
Total Non-Claims Payments],Data[PRAPM102
Line of Business], "OEBB",Data[Most advanced LAN category], "1")</f>
        <v>0</v>
      </c>
    </row>
    <row r="39" spans="1:14" s="30" customFormat="1" x14ac:dyDescent="0.25">
      <c r="A39" s="43"/>
      <c r="C39" s="44"/>
      <c r="D39" s="43"/>
      <c r="G39" s="43"/>
      <c r="J39" s="43"/>
      <c r="M39" s="43"/>
    </row>
    <row r="40" spans="1:14" s="6" customFormat="1" x14ac:dyDescent="0.25">
      <c r="A40" s="33" t="s">
        <v>83</v>
      </c>
      <c r="B40" s="48">
        <f>SUMIFS(Data[Prorated &amp; abs value PRAPM109
Total Claims Payments],Data[PRAPM102
Line of Business], "COMM",Data[Most advanced LAN category], "3N")+SUMIFS(Data[Prorated &amp; abs value
PRAPM110
Total Non-Claims Payments],Data[PRAPM102
Line of Business], "COMM",Data[Most advanced LAN category], "3N")</f>
        <v>0</v>
      </c>
      <c r="C40" s="40"/>
      <c r="D40" s="33" t="s">
        <v>83</v>
      </c>
      <c r="E40" s="48">
        <f>SUMIFS(Data[Prorated &amp; abs value PRAPM109
Total Claims Payments],Data[PRAPM102
Line of Business], "MADV",Data[Most advanced LAN category], "3N")+SUMIFS(Data[Prorated &amp; abs value
PRAPM110
Total Non-Claims Payments],Data[PRAPM102
Line of Business], "MADV",Data[Most advanced LAN category], "3N")</f>
        <v>0</v>
      </c>
      <c r="G40" s="33" t="s">
        <v>83</v>
      </c>
      <c r="H40" s="48">
        <f>SUMIFS(Data[Prorated &amp; abs value PRAPM109
Total Claims Payments],Data[PRAPM102
Line of Business], "CCO",Data[Most advanced LAN category], "3N")+SUMIFS(Data[Prorated &amp; abs value
PRAPM110
Total Non-Claims Payments],Data[PRAPM102
Line of Business], "CCO",Data[Most advanced LAN category], "3N")</f>
        <v>0</v>
      </c>
      <c r="J40" s="33" t="s">
        <v>83</v>
      </c>
      <c r="K40" s="48">
        <f>SUMIFS(Data[Prorated &amp; abs value PRAPM109
Total Claims Payments],Data[PRAPM102
Line of Business], "PEBB",Data[Most advanced LAN category], "3N")+SUMIFS(Data[Prorated &amp; abs value
PRAPM110
Total Non-Claims Payments],Data[PRAPM102
Line of Business], "PEBB",Data[Most advanced LAN category], "3N")</f>
        <v>0</v>
      </c>
      <c r="M40" s="33" t="s">
        <v>83</v>
      </c>
      <c r="N40" s="48">
        <f>SUMIFS(Data[Prorated &amp; abs value PRAPM109
Total Claims Payments],Data[PRAPM102
Line of Business], "OEBB",Data[Most advanced LAN category], "3N")+SUMIFS(Data[Prorated &amp; abs value
PRAPM110
Total Non-Claims Payments],Data[PRAPM102
Line of Business], "OEBB",Data[Most advanced LAN category], "3N")</f>
        <v>0</v>
      </c>
    </row>
    <row r="41" spans="1:14" s="6" customFormat="1" x14ac:dyDescent="0.25">
      <c r="A41" s="33" t="s">
        <v>84</v>
      </c>
      <c r="B41" s="48">
        <f>SUMIFS(Data[Prorated &amp; abs value PRAPM109
Total Claims Payments],Data[PRAPM102
Line of Business], "COMM",Data[Most advanced LAN category], "4N")+SUMIFS(Data[Prorated &amp; abs value
PRAPM110
Total Non-Claims Payments],Data[PRAPM102
Line of Business], "COMM",Data[Most advanced LAN category], "4N")</f>
        <v>0</v>
      </c>
      <c r="C41" s="40"/>
      <c r="D41" s="33" t="s">
        <v>84</v>
      </c>
      <c r="E41" s="48">
        <f>SUMIFS(Data[Prorated &amp; abs value PRAPM109
Total Claims Payments],Data[PRAPM102
Line of Business], "MADV",Data[Most advanced LAN category], "4N")+SUMIFS(Data[Prorated &amp; abs value
PRAPM110
Total Non-Claims Payments],Data[PRAPM102
Line of Business], "MADV",Data[Most advanced LAN category], "4N")</f>
        <v>0</v>
      </c>
      <c r="G41" s="33" t="s">
        <v>84</v>
      </c>
      <c r="H41" s="48">
        <f>SUMIFS(Data[Prorated &amp; abs value PRAPM109
Total Claims Payments],Data[PRAPM102
Line of Business], "CCO",Data[Most advanced LAN category], "4N")+SUMIFS(Data[Prorated &amp; abs value
PRAPM110
Total Non-Claims Payments],Data[PRAPM102
Line of Business], "CCO",Data[Most advanced LAN category], "4N")</f>
        <v>0</v>
      </c>
      <c r="J41" s="33" t="s">
        <v>84</v>
      </c>
      <c r="K41" s="48">
        <f>SUMIFS(Data[Prorated &amp; abs value PRAPM109
Total Claims Payments],Data[PRAPM102
Line of Business], "PEBB",Data[Most advanced LAN category], "4N")+SUMIFS(Data[Prorated &amp; abs value
PRAPM110
Total Non-Claims Payments],Data[PRAPM102
Line of Business], "PEBB",Data[Most advanced LAN category], "4N")</f>
        <v>0</v>
      </c>
      <c r="M41" s="33" t="s">
        <v>84</v>
      </c>
      <c r="N41" s="48">
        <f>SUMIFS(Data[Prorated &amp; abs value PRAPM109
Total Claims Payments],Data[PRAPM102
Line of Business], "OEBB",Data[Most advanced LAN category], "4N")+SUMIFS(Data[Prorated &amp; abs value
PRAPM110
Total Non-Claims Payments],Data[PRAPM102
Line of Business], "OEBB",Data[Most advanced LAN category], "4N")</f>
        <v>0</v>
      </c>
    </row>
    <row r="42" spans="1:14" s="6" customFormat="1" x14ac:dyDescent="0.25">
      <c r="A42" s="33" t="s">
        <v>37</v>
      </c>
      <c r="B42" s="48">
        <f>SUMIFS(Data[Prorated &amp; abs value PRAPM109
Total Claims Payments],Data[PRAPM102
Line of Business], "COMM",Data[Most advanced LAN category], "1A")+SUMIFS(Data[Prorated &amp; abs value
PRAPM110
Total Non-Claims Payments],Data[PRAPM102
Line of Business], "COMM",Data[Most advanced LAN category], "1A")</f>
        <v>0</v>
      </c>
      <c r="D42" s="33" t="s">
        <v>37</v>
      </c>
      <c r="E42" s="48">
        <f>SUMIFS(Data[Prorated &amp; abs value PRAPM109
Total Claims Payments],Data[PRAPM102
Line of Business], "MADV",Data[Most advanced LAN category], "1A")+SUMIFS(Data[Prorated &amp; abs value
PRAPM110
Total Non-Claims Payments],Data[PRAPM102
Line of Business], "MADV",Data[Most advanced LAN category], "1A")</f>
        <v>0</v>
      </c>
      <c r="G42" s="33" t="s">
        <v>37</v>
      </c>
      <c r="H42" s="48">
        <f>SUMIFS(Data[Prorated &amp; abs value PRAPM109
Total Claims Payments],Data[PRAPM102
Line of Business], "CCO",Data[Most advanced LAN category], "1A")+SUMIFS(Data[Prorated &amp; abs value
PRAPM110
Total Non-Claims Payments],Data[PRAPM102
Line of Business], "CCO",Data[Most advanced LAN category], "1A")</f>
        <v>0</v>
      </c>
      <c r="J42" s="33" t="s">
        <v>37</v>
      </c>
      <c r="K42" s="48">
        <f>SUMIFS(Data[Prorated &amp; abs value PRAPM109
Total Claims Payments],Data[PRAPM102
Line of Business], "PEBB",Data[Most advanced LAN category], "1A")+SUMIFS(Data[Prorated &amp; abs value
PRAPM110
Total Non-Claims Payments],Data[PRAPM102
Line of Business], "PEBB",Data[Most advanced LAN category], "1A")</f>
        <v>0</v>
      </c>
      <c r="M42" s="33" t="s">
        <v>37</v>
      </c>
      <c r="N42" s="48">
        <f>SUMIFS(Data[Prorated &amp; abs value PRAPM109
Total Claims Payments],Data[PRAPM102
Line of Business], "OEBB",Data[Most advanced LAN category], "1A")+SUMIFS(Data[Prorated &amp; abs value
PRAPM110
Total Non-Claims Payments],Data[PRAPM102
Line of Business], "OEBB",Data[Most advanced LAN category], "1A")</f>
        <v>0</v>
      </c>
    </row>
    <row r="43" spans="1:14" s="6" customFormat="1" x14ac:dyDescent="0.25">
      <c r="A43" s="33" t="s">
        <v>38</v>
      </c>
      <c r="B43" s="48">
        <f>SUMIFS(Data[Prorated &amp; abs value PRAPM109
Total Claims Payments],Data[PRAPM102
Line of Business], "COMM",Data[Most advanced LAN category], "2Aii")+SUMIFS(Data[Prorated &amp; abs value
PRAPM110
Total Non-Claims Payments],Data[PRAPM102
Line of Business], "COMM",Data[Most advanced LAN category], "2Aii")</f>
        <v>0</v>
      </c>
      <c r="D43" s="33" t="s">
        <v>38</v>
      </c>
      <c r="E43" s="48">
        <f>SUMIFS(Data[Prorated &amp; abs value PRAPM109
Total Claims Payments],Data[PRAPM102
Line of Business], "MADV",Data[Most advanced LAN category], "2Aii")+SUMIFS(Data[Prorated &amp; abs value
PRAPM110
Total Non-Claims Payments],Data[PRAPM102
Line of Business], "MADV",Data[Most advanced LAN category], "2Aii")</f>
        <v>0</v>
      </c>
      <c r="G43" s="33" t="s">
        <v>38</v>
      </c>
      <c r="H43" s="48">
        <f>SUMIFS(Data[Prorated &amp; abs value PRAPM109
Total Claims Payments],Data[PRAPM102
Line of Business], "CCO",Data[Most advanced LAN category], "2Aii")+SUMIFS(Data[Prorated &amp; abs value
PRAPM110
Total Non-Claims Payments],Data[PRAPM102
Line of Business], "CCO",Data[Most advanced LAN category], "2Aii")</f>
        <v>0</v>
      </c>
      <c r="J43" s="33" t="s">
        <v>38</v>
      </c>
      <c r="K43" s="48">
        <f>SUMIFS(Data[Prorated &amp; abs value PRAPM109
Total Claims Payments],Data[PRAPM102
Line of Business], "PEBB",Data[Most advanced LAN category], "2Aii")+SUMIFS(Data[Prorated &amp; abs value
PRAPM110
Total Non-Claims Payments],Data[PRAPM102
Line of Business], "PEBB",Data[Most advanced LAN category], "2Aii")</f>
        <v>0</v>
      </c>
      <c r="M43" s="33" t="s">
        <v>38</v>
      </c>
      <c r="N43" s="48">
        <f>SUMIFS(Data[Prorated &amp; abs value PRAPM109
Total Claims Payments],Data[PRAPM102
Line of Business], "OEBB",Data[Most advanced LAN category], "2Aii")+SUMIFS(Data[Prorated &amp; abs value
PRAPM110
Total Non-Claims Payments],Data[PRAPM102
Line of Business], "OEBB",Data[Most advanced LAN category], "2Aii")</f>
        <v>0</v>
      </c>
    </row>
    <row r="44" spans="1:14" s="6" customFormat="1" x14ac:dyDescent="0.25">
      <c r="A44" s="33" t="s">
        <v>39</v>
      </c>
      <c r="B44" s="48">
        <f>SUMIFS(Data[Prorated &amp; abs value PRAPM109
Total Claims Payments],Data[PRAPM102
Line of Business], "COMM",Data[Most advanced LAN category], "2Ai")+SUMIFS(Data[Prorated &amp; abs value
PRAPM110
Total Non-Claims Payments],Data[PRAPM102
Line of Business], "COMM",Data[Most advanced LAN category], "2Ai")</f>
        <v>0</v>
      </c>
      <c r="D44" s="33" t="s">
        <v>39</v>
      </c>
      <c r="E44" s="48">
        <f>SUMIFS(Data[Prorated &amp; abs value PRAPM109
Total Claims Payments],Data[PRAPM102
Line of Business], "MADV",Data[Most advanced LAN category], "2Ai")+SUMIFS(Data[Prorated &amp; abs value
PRAPM110
Total Non-Claims Payments],Data[PRAPM102
Line of Business], "MADV",Data[Most advanced LAN category], "2Ai")</f>
        <v>0</v>
      </c>
      <c r="G44" s="33" t="s">
        <v>39</v>
      </c>
      <c r="H44" s="48">
        <f>SUMIFS(Data[Prorated &amp; abs value PRAPM109
Total Claims Payments],Data[PRAPM102
Line of Business], "CCO",Data[Most advanced LAN category], "2Ai")+SUMIFS(Data[Prorated &amp; abs value
PRAPM110
Total Non-Claims Payments],Data[PRAPM102
Line of Business], "CCO",Data[Most advanced LAN category], "2Ai")</f>
        <v>0</v>
      </c>
      <c r="J44" s="33" t="s">
        <v>39</v>
      </c>
      <c r="K44" s="48">
        <f>SUMIFS(Data[Prorated &amp; abs value PRAPM109
Total Claims Payments],Data[PRAPM102
Line of Business], "PEBB",Data[Most advanced LAN category], "2Ai")+SUMIFS(Data[Prorated &amp; abs value
PRAPM110
Total Non-Claims Payments],Data[PRAPM102
Line of Business], "PEBB",Data[Most advanced LAN category], "2Ai")</f>
        <v>0</v>
      </c>
      <c r="M44" s="33" t="s">
        <v>39</v>
      </c>
      <c r="N44" s="48">
        <f>SUMIFS(Data[Prorated &amp; abs value PRAPM109
Total Claims Payments],Data[PRAPM102
Line of Business], "OEBB",Data[Most advanced LAN category], "2Ai")+SUMIFS(Data[Prorated &amp; abs value
PRAPM110
Total Non-Claims Payments],Data[PRAPM102
Line of Business], "OEBB",Data[Most advanced LAN category], "2Ai")</f>
        <v>0</v>
      </c>
    </row>
    <row r="45" spans="1:14" s="6" customFormat="1" x14ac:dyDescent="0.25">
      <c r="A45" s="33" t="s">
        <v>40</v>
      </c>
      <c r="B45" s="48">
        <f>SUMIFS(Data[Prorated &amp; abs value PRAPM109
Total Claims Payments],Data[PRAPM102
Line of Business], "COMM",Data[Most advanced LAN category], "2B")+SUMIFS(Data[Prorated &amp; abs value
PRAPM110
Total Non-Claims Payments],Data[PRAPM102
Line of Business], "COMM",Data[Most advanced LAN category], "2B")</f>
        <v>0</v>
      </c>
      <c r="D45" s="33" t="s">
        <v>40</v>
      </c>
      <c r="E45" s="48">
        <f>SUMIFS(Data[Prorated &amp; abs value PRAPM109
Total Claims Payments],Data[PRAPM102
Line of Business], "MADV",Data[Most advanced LAN category], "2B")+SUMIFS(Data[Prorated &amp; abs value
PRAPM110
Total Non-Claims Payments],Data[PRAPM102
Line of Business], "MADV",Data[Most advanced LAN category], "2B")</f>
        <v>0</v>
      </c>
      <c r="G45" s="33" t="s">
        <v>40</v>
      </c>
      <c r="H45" s="48">
        <f>SUMIFS(Data[Prorated &amp; abs value PRAPM109
Total Claims Payments],Data[PRAPM102
Line of Business], "CCO",Data[Most advanced LAN category], "2B")+SUMIFS(Data[Prorated &amp; abs value
PRAPM110
Total Non-Claims Payments],Data[PRAPM102
Line of Business], "CCO",Data[Most advanced LAN category], "2B")</f>
        <v>0</v>
      </c>
      <c r="J45" s="33" t="s">
        <v>40</v>
      </c>
      <c r="K45" s="48">
        <f>SUMIFS(Data[Prorated &amp; abs value PRAPM109
Total Claims Payments],Data[PRAPM102
Line of Business], "PEBB",Data[Most advanced LAN category], "2B")+SUMIFS(Data[Prorated &amp; abs value
PRAPM110
Total Non-Claims Payments],Data[PRAPM102
Line of Business], "PEBB",Data[Most advanced LAN category], "2B")</f>
        <v>0</v>
      </c>
      <c r="M45" s="33" t="s">
        <v>40</v>
      </c>
      <c r="N45" s="48">
        <f>SUMIFS(Data[Prorated &amp; abs value PRAPM109
Total Claims Payments],Data[PRAPM102
Line of Business], "OEBB",Data[Most advanced LAN category], "2B")+SUMIFS(Data[Prorated &amp; abs value
PRAPM110
Total Non-Claims Payments],Data[PRAPM102
Line of Business], "OEBB",Data[Most advanced LAN category], "2B")</f>
        <v>0</v>
      </c>
    </row>
    <row r="46" spans="1:14" s="6" customFormat="1" x14ac:dyDescent="0.25">
      <c r="A46" s="33" t="s">
        <v>41</v>
      </c>
      <c r="B46" s="48">
        <f>SUMIFS(Data[Prorated &amp; abs value PRAPM109
Total Claims Payments],Data[PRAPM102
Line of Business], "COMM",Data[Most advanced LAN category], "2C")+SUMIFS(Data[Prorated &amp; abs value
PRAPM110
Total Non-Claims Payments],Data[PRAPM102
Line of Business], "COMM",Data[Most advanced LAN category], "2C")</f>
        <v>0</v>
      </c>
      <c r="D46" s="33" t="s">
        <v>41</v>
      </c>
      <c r="E46" s="48">
        <f>SUMIFS(Data[Prorated &amp; abs value PRAPM109
Total Claims Payments],Data[PRAPM102
Line of Business], "MADV",Data[Most advanced LAN category], "2C")+SUMIFS(Data[Prorated &amp; abs value
PRAPM110
Total Non-Claims Payments],Data[PRAPM102
Line of Business], "MADV",Data[Most advanced LAN category], "2C")</f>
        <v>0</v>
      </c>
      <c r="G46" s="33" t="s">
        <v>41</v>
      </c>
      <c r="H46" s="53">
        <f>SUMIFS(Data[Prorated &amp; abs value PRAPM109
Total Claims Payments],Data[PRAPM102
Line of Business], "CCO",Data[Most advanced LAN category], "2C")+SUMIFS(Data[Prorated &amp; abs value
PRAPM110
Total Non-Claims Payments],Data[PRAPM102
Line of Business], "CCO",Data[Most advanced LAN category], "2C")</f>
        <v>0</v>
      </c>
      <c r="J46" s="33" t="s">
        <v>41</v>
      </c>
      <c r="K46" s="48">
        <f>SUMIFS(Data[Prorated &amp; abs value PRAPM109
Total Claims Payments],Data[PRAPM102
Line of Business], "PEBB",Data[Most advanced LAN category], "2C")+SUMIFS(Data[Prorated &amp; abs value
PRAPM110
Total Non-Claims Payments],Data[PRAPM102
Line of Business], "PEBB",Data[Most advanced LAN category], "2C")</f>
        <v>0</v>
      </c>
      <c r="M46" s="33" t="s">
        <v>41</v>
      </c>
      <c r="N46" s="48">
        <f>SUMIFS(Data[Prorated &amp; abs value PRAPM109
Total Claims Payments],Data[PRAPM102
Line of Business], "OEBB",Data[Most advanced LAN category], "2C")+SUMIFS(Data[Prorated &amp; abs value
PRAPM110
Total Non-Claims Payments],Data[PRAPM102
Line of Business], "OEBB",Data[Most advanced LAN category], "2C")</f>
        <v>0</v>
      </c>
    </row>
    <row r="47" spans="1:14" s="6" customFormat="1" x14ac:dyDescent="0.25">
      <c r="A47" s="33" t="s">
        <v>42</v>
      </c>
      <c r="B47" s="48">
        <f>SUMIFS(Data[Prorated &amp; abs value PRAPM109
Total Claims Payments],Data[PRAPM102
Line of Business], "COMM",Data[Most advanced LAN category], "3A")+SUMIFS(Data[Prorated &amp; abs value
PRAPM110
Total Non-Claims Payments],Data[PRAPM102
Line of Business], "COMM",Data[Most advanced LAN category], "3A")</f>
        <v>0</v>
      </c>
      <c r="D47" s="33" t="s">
        <v>42</v>
      </c>
      <c r="E47" s="48">
        <f>SUMIFS(Data[Prorated &amp; abs value PRAPM109
Total Claims Payments],Data[PRAPM102
Line of Business], "MADV",Data[Most advanced LAN category], "3A")+SUMIFS(Data[Prorated &amp; abs value
PRAPM110
Total Non-Claims Payments],Data[PRAPM102
Line of Business], "MADV",Data[Most advanced LAN category], "3A")</f>
        <v>0</v>
      </c>
      <c r="G47" s="33" t="s">
        <v>42</v>
      </c>
      <c r="H47" s="53">
        <f>SUMIFS(Data[Prorated &amp; abs value PRAPM109
Total Claims Payments],Data[PRAPM102
Line of Business], "CCO",Data[Most advanced LAN category], "3A")+SUMIFS(Data[Prorated &amp; abs value
PRAPM110
Total Non-Claims Payments],Data[PRAPM102
Line of Business], "CCO",Data[Most advanced LAN category], "3A")</f>
        <v>0</v>
      </c>
      <c r="J47" s="33" t="s">
        <v>42</v>
      </c>
      <c r="K47" s="48">
        <f>SUMIFS(Data[Prorated &amp; abs value PRAPM109
Total Claims Payments],Data[PRAPM102
Line of Business], "PEBB",Data[Most advanced LAN category], "3A")+SUMIFS(Data[Prorated &amp; abs value
PRAPM110
Total Non-Claims Payments],Data[PRAPM102
Line of Business], "PEBB",Data[Most advanced LAN category], "3A")</f>
        <v>0</v>
      </c>
      <c r="M47" s="33" t="s">
        <v>42</v>
      </c>
      <c r="N47" s="48">
        <f>SUMIFS(Data[Prorated &amp; abs value PRAPM109
Total Claims Payments],Data[PRAPM102
Line of Business], "OEBB",Data[Most advanced LAN category], "3A")+SUMIFS(Data[Prorated &amp; abs value
PRAPM110
Total Non-Claims Payments],Data[PRAPM102
Line of Business], "OEBB",Data[Most advanced LAN category], "3A")</f>
        <v>0</v>
      </c>
    </row>
    <row r="48" spans="1:14" s="6" customFormat="1" x14ac:dyDescent="0.25">
      <c r="A48" s="33" t="s">
        <v>43</v>
      </c>
      <c r="B48" s="48">
        <f>SUMIFS(Data[Prorated &amp; abs value PRAPM109
Total Claims Payments],Data[PRAPM102
Line of Business], "COMM",Data[Most advanced LAN category], "3B")+SUMIFS(Data[Prorated &amp; abs value
PRAPM110
Total Non-Claims Payments],Data[PRAPM102
Line of Business], "COMM",Data[Most advanced LAN category], "3B")</f>
        <v>0</v>
      </c>
      <c r="D48" s="33" t="s">
        <v>43</v>
      </c>
      <c r="E48" s="48">
        <f>SUMIFS(Data[Prorated &amp; abs value PRAPM109
Total Claims Payments],Data[PRAPM102
Line of Business], "MADV",Data[Most advanced LAN category], "3B")+SUMIFS(Data[Prorated &amp; abs value
PRAPM110
Total Non-Claims Payments],Data[PRAPM102
Line of Business], "MADV",Data[Most advanced LAN category], "3B")</f>
        <v>0</v>
      </c>
      <c r="G48" s="33" t="s">
        <v>43</v>
      </c>
      <c r="H48" s="54">
        <f>SUMIFS(Data[Prorated &amp; abs value PRAPM109
Total Claims Payments],Data[PRAPM102
Line of Business], "CCO",Data[Most advanced LAN category], "3B")+SUMIFS(Data[Prorated &amp; abs value
PRAPM110
Total Non-Claims Payments],Data[PRAPM102
Line of Business], "CCO",Data[Most advanced LAN category], "3B")</f>
        <v>0</v>
      </c>
      <c r="J48" s="33" t="s">
        <v>43</v>
      </c>
      <c r="K48" s="48">
        <f>SUMIFS(Data[Prorated &amp; abs value PRAPM109
Total Claims Payments],Data[PRAPM102
Line of Business], "PEBB",Data[Most advanced LAN category], "3B")+SUMIFS(Data[Prorated &amp; abs value
PRAPM110
Total Non-Claims Payments],Data[PRAPM102
Line of Business], "PEBB",Data[Most advanced LAN category], "3B")</f>
        <v>0</v>
      </c>
      <c r="M48" s="33" t="s">
        <v>43</v>
      </c>
      <c r="N48" s="48">
        <f>SUMIFS(Data[Prorated &amp; abs value PRAPM109
Total Claims Payments],Data[PRAPM102
Line of Business], "OEBB",Data[Most advanced LAN category], "3B")+SUMIFS(Data[Prorated &amp; abs value
PRAPM110
Total Non-Claims Payments],Data[PRAPM102
Line of Business], "OEBB",Data[Most advanced LAN category], "3B")</f>
        <v>0</v>
      </c>
    </row>
    <row r="49" spans="1:14" s="6" customFormat="1" x14ac:dyDescent="0.25">
      <c r="A49" s="33" t="s">
        <v>44</v>
      </c>
      <c r="B49" s="48">
        <f>SUMIFS(Data[Prorated &amp; abs value PRAPM109
Total Claims Payments],Data[PRAPM102
Line of Business], "COMM",Data[Most advanced LAN category], "4A")+SUMIFS(Data[Prorated &amp; abs value
PRAPM110
Total Non-Claims Payments],Data[PRAPM102
Line of Business], "COMM",Data[Most advanced LAN category], "4A")</f>
        <v>0</v>
      </c>
      <c r="D49" s="33" t="s">
        <v>44</v>
      </c>
      <c r="E49" s="48">
        <f>SUMIFS(Data[Prorated &amp; abs value PRAPM109
Total Claims Payments],Data[PRAPM102
Line of Business], "MADV",Data[Most advanced LAN category], "4A")+SUMIFS(Data[Prorated &amp; abs value
PRAPM110
Total Non-Claims Payments],Data[PRAPM102
Line of Business], "MADV",Data[Most advanced LAN category], "4A")</f>
        <v>0</v>
      </c>
      <c r="G49" s="33" t="s">
        <v>44</v>
      </c>
      <c r="H49" s="54">
        <f>SUMIFS(Data[Prorated &amp; abs value PRAPM109
Total Claims Payments],Data[PRAPM102
Line of Business], "CCO",Data[Most advanced LAN category], "4A")+SUMIFS(Data[Prorated &amp; abs value
PRAPM110
Total Non-Claims Payments],Data[PRAPM102
Line of Business], "CCO",Data[Most advanced LAN category], "4A")</f>
        <v>0</v>
      </c>
      <c r="J49" s="33" t="s">
        <v>44</v>
      </c>
      <c r="K49" s="48">
        <f>SUMIFS(Data[Prorated &amp; abs value PRAPM109
Total Claims Payments],Data[PRAPM102
Line of Business], "PEBB",Data[Most advanced LAN category], "4A")+SUMIFS(Data[Prorated &amp; abs value
PRAPM110
Total Non-Claims Payments],Data[PRAPM102
Line of Business], "PEBB",Data[Most advanced LAN category], "4A")</f>
        <v>0</v>
      </c>
      <c r="M49" s="33" t="s">
        <v>44</v>
      </c>
      <c r="N49" s="48">
        <f>SUMIFS(Data[Prorated &amp; abs value PRAPM109
Total Claims Payments],Data[PRAPM102
Line of Business], "OEBB",Data[Most advanced LAN category], "4A")+SUMIFS(Data[Prorated &amp; abs value
PRAPM110
Total Non-Claims Payments],Data[PRAPM102
Line of Business], "OEBB",Data[Most advanced LAN category], "4A")</f>
        <v>0</v>
      </c>
    </row>
    <row r="50" spans="1:14" s="6" customFormat="1" x14ac:dyDescent="0.25">
      <c r="A50" s="33" t="s">
        <v>45</v>
      </c>
      <c r="B50" s="48">
        <f>SUMIFS(Data[Prorated &amp; abs value PRAPM109
Total Claims Payments],Data[PRAPM102
Line of Business], "COMM",Data[Most advanced LAN category], "4B")+SUMIFS(Data[Prorated &amp; abs value
PRAPM110
Total Non-Claims Payments],Data[PRAPM102
Line of Business], "COMM",Data[Most advanced LAN category], "4B")</f>
        <v>0</v>
      </c>
      <c r="D50" s="33" t="s">
        <v>45</v>
      </c>
      <c r="E50" s="48">
        <f>SUMIFS(Data[Prorated &amp; abs value PRAPM109
Total Claims Payments],Data[PRAPM102
Line of Business], "MADV",Data[Most advanced LAN category], "4B")+SUMIFS(Data[Prorated &amp; abs value
PRAPM110
Total Non-Claims Payments],Data[PRAPM102
Line of Business], "MADV",Data[Most advanced LAN category], "4B")</f>
        <v>0</v>
      </c>
      <c r="G50" s="33" t="s">
        <v>45</v>
      </c>
      <c r="H50" s="54">
        <f>SUMIFS(Data[Prorated &amp; abs value PRAPM109
Total Claims Payments],Data[PRAPM102
Line of Business], "CCO",Data[Most advanced LAN category], "4B")+SUMIFS(Data[Prorated &amp; abs value
PRAPM110
Total Non-Claims Payments],Data[PRAPM102
Line of Business], "CCO",Data[Most advanced LAN category], "4B")</f>
        <v>0</v>
      </c>
      <c r="J50" s="33" t="s">
        <v>45</v>
      </c>
      <c r="K50" s="48">
        <f>SUMIFS(Data[Prorated &amp; abs value PRAPM109
Total Claims Payments],Data[PRAPM102
Line of Business], "PEBB",Data[Most advanced LAN category], "4B")+SUMIFS(Data[Prorated &amp; abs value
PRAPM110
Total Non-Claims Payments],Data[PRAPM102
Line of Business], "PEBB",Data[Most advanced LAN category], "4B")</f>
        <v>0</v>
      </c>
      <c r="M50" s="33" t="s">
        <v>45</v>
      </c>
      <c r="N50" s="48">
        <f>SUMIFS(Data[Prorated &amp; abs value PRAPM109
Total Claims Payments],Data[PRAPM102
Line of Business], "OEBB",Data[Most advanced LAN category], "4B")+SUMIFS(Data[Prorated &amp; abs value
PRAPM110
Total Non-Claims Payments],Data[PRAPM102
Line of Business], "OEBB",Data[Most advanced LAN category], "4B")</f>
        <v>0</v>
      </c>
    </row>
    <row r="51" spans="1:14" s="6" customFormat="1" x14ac:dyDescent="0.25">
      <c r="A51" s="33" t="s">
        <v>46</v>
      </c>
      <c r="B51" s="48">
        <f>SUMIFS(Data[Prorated &amp; abs value PRAPM109
Total Claims Payments],Data[PRAPM102
Line of Business], "COMM",Data[Most advanced LAN category], "4C")+SUMIFS(Data[Prorated &amp; abs value
PRAPM110
Total Non-Claims Payments],Data[PRAPM102
Line of Business], "COMM",Data[Most advanced LAN category], "4C")</f>
        <v>0</v>
      </c>
      <c r="D51" s="33" t="s">
        <v>46</v>
      </c>
      <c r="E51" s="48">
        <f>SUMIFS(Data[Prorated &amp; abs value PRAPM109
Total Claims Payments],Data[PRAPM102
Line of Business], "MADV",Data[Most advanced LAN category], "4C")+SUMIFS(Data[Prorated &amp; abs value
PRAPM110
Total Non-Claims Payments],Data[PRAPM102
Line of Business], "MADV",Data[Most advanced LAN category], "4C")</f>
        <v>0</v>
      </c>
      <c r="G51" s="33" t="s">
        <v>46</v>
      </c>
      <c r="H51" s="54">
        <f>SUMIFS(Data[Prorated &amp; abs value PRAPM109
Total Claims Payments],Data[PRAPM102
Line of Business], "CCO",Data[Most advanced LAN category], "4C")+SUMIFS(Data[Prorated &amp; abs value
PRAPM110
Total Non-Claims Payments],Data[PRAPM102
Line of Business], "CCO",Data[Most advanced LAN category], "4C")</f>
        <v>0</v>
      </c>
      <c r="J51" s="33" t="s">
        <v>46</v>
      </c>
      <c r="K51" s="48">
        <f>SUMIFS(Data[Prorated &amp; abs value PRAPM109
Total Claims Payments],Data[PRAPM102
Line of Business], "PEBB",Data[Most advanced LAN category], "4C")+SUMIFS(Data[Prorated &amp; abs value
PRAPM110
Total Non-Claims Payments],Data[PRAPM102
Line of Business], "PEBB",Data[Most advanced LAN category], "4C")</f>
        <v>0</v>
      </c>
      <c r="M51" s="33" t="s">
        <v>46</v>
      </c>
      <c r="N51" s="48">
        <f>SUMIFS(Data[Prorated &amp; abs value PRAPM109
Total Claims Payments],Data[PRAPM102
Line of Business], "OEBB",Data[Most advanced LAN category], "4C")+SUMIFS(Data[Prorated &amp; abs value
PRAPM110
Total Non-Claims Payments],Data[PRAPM102
Line of Business], "OEBB",Data[Most advanced LAN category], "4C")</f>
        <v>0</v>
      </c>
    </row>
    <row r="52" spans="1:14" s="6" customFormat="1" ht="30" x14ac:dyDescent="0.25">
      <c r="A52" s="34" t="s">
        <v>77</v>
      </c>
      <c r="B52" s="48">
        <f>SUM(B40:B51,B38)</f>
        <v>0</v>
      </c>
      <c r="D52" s="34" t="s">
        <v>77</v>
      </c>
      <c r="E52" s="48">
        <f>SUM(E40:E51,E38)</f>
        <v>0</v>
      </c>
      <c r="G52" s="34" t="s">
        <v>77</v>
      </c>
      <c r="H52" s="48">
        <f>SUM(H40:H51,H38)</f>
        <v>0</v>
      </c>
      <c r="J52" s="34" t="s">
        <v>77</v>
      </c>
      <c r="K52" s="48">
        <f>SUM(K40:K51,K38)</f>
        <v>0</v>
      </c>
      <c r="M52" s="34" t="s">
        <v>77</v>
      </c>
      <c r="N52" s="48">
        <f>SUM(N40:N51,N38)</f>
        <v>0</v>
      </c>
    </row>
    <row r="53" spans="1:14" s="6" customFormat="1" x14ac:dyDescent="0.25">
      <c r="B53" s="30"/>
      <c r="D53" s="38"/>
      <c r="E53" s="57"/>
      <c r="G53" s="41" t="s">
        <v>80</v>
      </c>
      <c r="H53" s="30"/>
      <c r="J53" s="38"/>
      <c r="K53" s="30"/>
      <c r="M53" s="38"/>
      <c r="N53" s="30"/>
    </row>
    <row r="54" spans="1:14" s="6" customFormat="1" x14ac:dyDescent="0.25">
      <c r="A54" s="38"/>
      <c r="B54" s="30"/>
      <c r="D54" s="38"/>
      <c r="E54" s="30"/>
      <c r="G54" s="38"/>
      <c r="H54" s="30"/>
      <c r="J54" s="38"/>
      <c r="K54" s="30"/>
      <c r="M54" s="38"/>
      <c r="N54" s="30"/>
    </row>
    <row r="55" spans="1:14" x14ac:dyDescent="0.25">
      <c r="A55" s="38"/>
    </row>
    <row r="56" spans="1:14" x14ac:dyDescent="0.25">
      <c r="A56" s="32"/>
      <c r="B56" s="6"/>
    </row>
    <row r="57" spans="1:14" x14ac:dyDescent="0.25">
      <c r="A57" s="22" t="s">
        <v>51</v>
      </c>
    </row>
    <row r="58" spans="1:14" x14ac:dyDescent="0.25">
      <c r="A58" s="3" t="s">
        <v>65</v>
      </c>
    </row>
    <row r="59" spans="1:14" x14ac:dyDescent="0.25">
      <c r="A59" s="37" t="s">
        <v>52</v>
      </c>
      <c r="B59" s="25"/>
      <c r="D59" s="37" t="s">
        <v>61</v>
      </c>
      <c r="E59" s="25"/>
      <c r="G59" s="37" t="s">
        <v>62</v>
      </c>
      <c r="H59" s="25"/>
      <c r="J59" s="37" t="s">
        <v>63</v>
      </c>
      <c r="K59" s="25"/>
      <c r="M59" s="37" t="s">
        <v>64</v>
      </c>
      <c r="N59" s="25"/>
    </row>
    <row r="60" spans="1:14" x14ac:dyDescent="0.25">
      <c r="A60" s="37" t="s">
        <v>53</v>
      </c>
      <c r="B60" s="48">
        <f>SUMIFS(Data[Prorated &amp; abs value PRAPM109
Total Claims Payments],Data[PRAPM102
Line of Business], "COMM",Data[PRAPM101 Billing Provider or Org Entity Type], "1")+SUMIFS(Data[Prorated &amp; abs value
PRAPM110
Total Non-Claims Payments],Data[PRAPM102
Line of Business], "COMM",Data[PRAPM101 Billing Provider or Org Entity Type], "1")</f>
        <v>0</v>
      </c>
      <c r="D60" s="37" t="s">
        <v>53</v>
      </c>
      <c r="E60" s="48">
        <f>SUMIFS(Data[Prorated &amp; abs value PRAPM109
Total Claims Payments],Data[PRAPM102
Line of Business], "MADV",Data[PRAPM101 Billing Provider or Org Entity Type], "1")+SUMIFS(Data[Prorated &amp; abs value
PRAPM110
Total Non-Claims Payments],Data[PRAPM102
Line of Business], "MADV",Data[PRAPM101 Billing Provider or Org Entity Type], "1")</f>
        <v>0</v>
      </c>
      <c r="G60" s="37" t="s">
        <v>53</v>
      </c>
      <c r="H60" s="48">
        <f>SUMIFS(Data[Prorated &amp; abs value PRAPM109
Total Claims Payments],Data[PRAPM102
Line of Business], "CCO",Data[PRAPM101 Billing Provider or Org Entity Type], "1")+SUMIFS(Data[Prorated &amp; abs value
PRAPM110
Total Non-Claims Payments],Data[PRAPM102
Line of Business], "CCO",Data[PRAPM101 Billing Provider or Org Entity Type], "1")</f>
        <v>0</v>
      </c>
      <c r="J60" s="37" t="s">
        <v>53</v>
      </c>
      <c r="K60" s="48">
        <f>SUMIFS(Data[Prorated &amp; abs value PRAPM109
Total Claims Payments],Data[PRAPM102
Line of Business], "PEBB",Data[PRAPM101 Billing Provider or Org Entity Type], "1")+SUMIFS(Data[Prorated &amp; abs value
PRAPM110
Total Non-Claims Payments],Data[PRAPM102
Line of Business], "PEBB",Data[PRAPM101 Billing Provider or Org Entity Type], "1")</f>
        <v>0</v>
      </c>
      <c r="M60" s="37" t="s">
        <v>53</v>
      </c>
      <c r="N60" s="48">
        <f>SUMIFS(Data[Prorated &amp; abs value PRAPM109
Total Claims Payments],Data[PRAPM102
Line of Business], "OEBB",Data[PRAPM101 Billing Provider or Org Entity Type], "1")+SUMIFS(Data[Prorated &amp; abs value
PRAPM110
Total Non-Claims Payments],Data[PRAPM102
Line of Business], "OEBB",Data[PRAPM101 Billing Provider or Org Entity Type], "1")</f>
        <v>0</v>
      </c>
    </row>
    <row r="61" spans="1:14" x14ac:dyDescent="0.25">
      <c r="A61" s="37" t="s">
        <v>54</v>
      </c>
      <c r="B61" s="48">
        <f>SUMIFS(Data[Prorated &amp; abs value PRAPM109
Total Claims Payments],Data[PRAPM102
Line of Business], "COMM",Data[PRAPM101 Billing Provider or Org Entity Type], "2")+SUMIFS(Data[Prorated &amp; abs value
PRAPM110
Total Non-Claims Payments],Data[PRAPM102
Line of Business], "COMM",Data[PRAPM101 Billing Provider or Org Entity Type], "2")</f>
        <v>0</v>
      </c>
      <c r="D61" s="37" t="s">
        <v>54</v>
      </c>
      <c r="E61" s="48">
        <f>SUMIFS(Data[Prorated &amp; abs value PRAPM109
Total Claims Payments],Data[PRAPM102
Line of Business], "MADV",Data[PRAPM101 Billing Provider or Org Entity Type], "2")+SUMIFS(Data[Prorated &amp; abs value
PRAPM110
Total Non-Claims Payments],Data[PRAPM102
Line of Business], "MADV",Data[PRAPM101 Billing Provider or Org Entity Type], "2")</f>
        <v>0</v>
      </c>
      <c r="G61" s="37" t="s">
        <v>54</v>
      </c>
      <c r="H61" s="48">
        <f>SUMIFS(Data[Prorated &amp; abs value PRAPM109
Total Claims Payments],Data[PRAPM102
Line of Business], "CCO",Data[PRAPM101 Billing Provider or Org Entity Type], "2")+SUMIFS(Data[Prorated &amp; abs value
PRAPM110
Total Non-Claims Payments],Data[PRAPM102
Line of Business], "CCO",Data[PRAPM101 Billing Provider or Org Entity Type], "2")</f>
        <v>0</v>
      </c>
      <c r="J61" s="37" t="s">
        <v>54</v>
      </c>
      <c r="K61" s="48">
        <f>SUMIFS(Data[Prorated &amp; abs value PRAPM109
Total Claims Payments],Data[PRAPM102
Line of Business], "PEBB",Data[PRAPM101 Billing Provider or Org Entity Type], "2")+SUMIFS(Data[Prorated &amp; abs value
PRAPM110
Total Non-Claims Payments],Data[PRAPM102
Line of Business], "PEBB",Data[PRAPM101 Billing Provider or Org Entity Type], "2")</f>
        <v>0</v>
      </c>
      <c r="M61" s="37" t="s">
        <v>54</v>
      </c>
      <c r="N61" s="48">
        <f>SUMIFS(Data[Prorated &amp; abs value PRAPM109
Total Claims Payments],Data[PRAPM102
Line of Business], "OEBB",Data[PRAPM101 Billing Provider or Org Entity Type], "2")+SUMIFS(Data[Prorated &amp; abs value
PRAPM110
Total Non-Claims Payments],Data[PRAPM102
Line of Business], "OEBB",Data[PRAPM101 Billing Provider or Org Entity Type], "2")</f>
        <v>0</v>
      </c>
    </row>
    <row r="62" spans="1:14" x14ac:dyDescent="0.25">
      <c r="A62" s="37" t="s">
        <v>55</v>
      </c>
      <c r="B62" s="48">
        <f>SUMIFS(Data[Prorated &amp; abs value PRAPM109
Total Claims Payments],Data[PRAPM102
Line of Business], "COMM",Data[PRAPM101 Billing Provider or Org Entity Type], "3")+SUMIFS(Data[Prorated &amp; abs value
PRAPM110
Total Non-Claims Payments],Data[PRAPM102
Line of Business], "COMM",Data[PRAPM101 Billing Provider or Org Entity Type], "3")</f>
        <v>0</v>
      </c>
      <c r="D62" s="37" t="s">
        <v>55</v>
      </c>
      <c r="E62" s="48">
        <f>SUMIFS(Data[Prorated &amp; abs value PRAPM109
Total Claims Payments],Data[PRAPM102
Line of Business], "MADV",Data[PRAPM101 Billing Provider or Org Entity Type], "3")+SUMIFS(Data[Prorated &amp; abs value
PRAPM110
Total Non-Claims Payments],Data[PRAPM102
Line of Business], "MADV",Data[PRAPM101 Billing Provider or Org Entity Type], "3")</f>
        <v>0</v>
      </c>
      <c r="G62" s="37" t="s">
        <v>55</v>
      </c>
      <c r="H62" s="48">
        <f>SUMIFS(Data[Prorated &amp; abs value PRAPM109
Total Claims Payments],Data[PRAPM102
Line of Business], "CCO",Data[PRAPM101 Billing Provider or Org Entity Type], "3")+SUMIFS(Data[Prorated &amp; abs value
PRAPM110
Total Non-Claims Payments],Data[PRAPM102
Line of Business], "CCO",Data[PRAPM101 Billing Provider or Org Entity Type], "3")</f>
        <v>0</v>
      </c>
      <c r="J62" s="37" t="s">
        <v>55</v>
      </c>
      <c r="K62" s="48">
        <f>SUMIFS(Data[Prorated &amp; abs value PRAPM109
Total Claims Payments],Data[PRAPM102
Line of Business], "PEBB",Data[PRAPM101 Billing Provider or Org Entity Type], "3")+SUMIFS(Data[Prorated &amp; abs value
PRAPM110
Total Non-Claims Payments],Data[PRAPM102
Line of Business], "PEBB",Data[PRAPM101 Billing Provider or Org Entity Type], "3")</f>
        <v>0</v>
      </c>
      <c r="M62" s="37" t="s">
        <v>55</v>
      </c>
      <c r="N62" s="48">
        <f>SUMIFS(Data[Prorated &amp; abs value PRAPM109
Total Claims Payments],Data[PRAPM102
Line of Business], "OEBB",Data[PRAPM101 Billing Provider or Org Entity Type], "3")+SUMIFS(Data[Prorated &amp; abs value
PRAPM110
Total Non-Claims Payments],Data[PRAPM102
Line of Business], "OEBB",Data[PRAPM101 Billing Provider or Org Entity Type], "3")</f>
        <v>0</v>
      </c>
    </row>
    <row r="63" spans="1:14" x14ac:dyDescent="0.25">
      <c r="A63" s="37" t="s">
        <v>56</v>
      </c>
      <c r="B63" s="48">
        <f>SUMIFS(Data[Prorated &amp; abs value PRAPM109
Total Claims Payments],Data[PRAPM102
Line of Business], "COMM",Data[PRAPM101 Billing Provider or Org Entity Type], "4")+SUMIFS(Data[Prorated &amp; abs value
PRAPM110
Total Non-Claims Payments],Data[PRAPM102
Line of Business], "COMM",Data[PRAPM101 Billing Provider or Org Entity Type], "4")</f>
        <v>0</v>
      </c>
      <c r="D63" s="37" t="s">
        <v>56</v>
      </c>
      <c r="E63" s="48">
        <f>SUMIFS(Data[Prorated &amp; abs value PRAPM109
Total Claims Payments],Data[PRAPM102
Line of Business], "MADV",Data[PRAPM101 Billing Provider or Org Entity Type], "4")+SUMIFS(Data[Prorated &amp; abs value
PRAPM110
Total Non-Claims Payments],Data[PRAPM102
Line of Business], "MADV",Data[PRAPM101 Billing Provider or Org Entity Type], "4")</f>
        <v>0</v>
      </c>
      <c r="G63" s="37" t="s">
        <v>56</v>
      </c>
      <c r="H63" s="48">
        <f>SUMIFS(Data[Prorated &amp; abs value PRAPM109
Total Claims Payments],Data[PRAPM102
Line of Business], "CCO",Data[PRAPM101 Billing Provider or Org Entity Type], "4")+SUMIFS(Data[Prorated &amp; abs value
PRAPM110
Total Non-Claims Payments],Data[PRAPM102
Line of Business], "CCO",Data[PRAPM101 Billing Provider or Org Entity Type], "4")</f>
        <v>0</v>
      </c>
      <c r="J63" s="37" t="s">
        <v>56</v>
      </c>
      <c r="K63" s="48">
        <f>SUMIFS(Data[Prorated &amp; abs value PRAPM109
Total Claims Payments],Data[PRAPM102
Line of Business], "PEBB",Data[PRAPM101 Billing Provider or Org Entity Type], "4")+SUMIFS(Data[Prorated &amp; abs value
PRAPM110
Total Non-Claims Payments],Data[PRAPM102
Line of Business], "PEBB",Data[PRAPM101 Billing Provider or Org Entity Type], "4")</f>
        <v>0</v>
      </c>
      <c r="M63" s="37" t="s">
        <v>56</v>
      </c>
      <c r="N63" s="48">
        <f>SUMIFS(Data[Prorated &amp; abs value PRAPM109
Total Claims Payments],Data[PRAPM102
Line of Business], "OEBB",Data[PRAPM101 Billing Provider or Org Entity Type], "4")+SUMIFS(Data[Prorated &amp; abs value
PRAPM110
Total Non-Claims Payments],Data[PRAPM102
Line of Business], "OEBB",Data[PRAPM101 Billing Provider or Org Entity Type], "4")</f>
        <v>0</v>
      </c>
    </row>
    <row r="64" spans="1:14" x14ac:dyDescent="0.25">
      <c r="A64" s="37" t="s">
        <v>57</v>
      </c>
      <c r="B64" s="48">
        <f>SUMIFS(Data[Prorated &amp; abs value PRAPM109
Total Claims Payments],Data[PRAPM102
Line of Business], "COMM",Data[PRAPM101 Billing Provider or Org Entity Type], "5")+SUMIFS(Data[Prorated &amp; abs value
PRAPM110
Total Non-Claims Payments],Data[PRAPM102
Line of Business], "COMM",Data[PRAPM101 Billing Provider or Org Entity Type], "5")</f>
        <v>0</v>
      </c>
      <c r="D64" s="37" t="s">
        <v>57</v>
      </c>
      <c r="E64" s="48">
        <f>SUMIFS(Data[Prorated &amp; abs value PRAPM109
Total Claims Payments],Data[PRAPM102
Line of Business], "MADV",Data[PRAPM101 Billing Provider or Org Entity Type], "5")+SUMIFS(Data[Prorated &amp; abs value
PRAPM110
Total Non-Claims Payments],Data[PRAPM102
Line of Business], "MADV",Data[PRAPM101 Billing Provider or Org Entity Type], "5")</f>
        <v>0</v>
      </c>
      <c r="G64" s="37" t="s">
        <v>57</v>
      </c>
      <c r="H64" s="48">
        <f>SUMIFS(Data[Prorated &amp; abs value PRAPM109
Total Claims Payments],Data[PRAPM102
Line of Business], "CCO",Data[PRAPM101 Billing Provider or Org Entity Type], "5")+SUMIFS(Data[Prorated &amp; abs value
PRAPM110
Total Non-Claims Payments],Data[PRAPM102
Line of Business], "CCO",Data[PRAPM101 Billing Provider or Org Entity Type], "5")</f>
        <v>0</v>
      </c>
      <c r="J64" s="37" t="s">
        <v>57</v>
      </c>
      <c r="K64" s="48">
        <f>SUMIFS(Data[Prorated &amp; abs value PRAPM109
Total Claims Payments],Data[PRAPM102
Line of Business], "PEBB",Data[PRAPM101 Billing Provider or Org Entity Type], "5")+SUMIFS(Data[Prorated &amp; abs value
PRAPM110
Total Non-Claims Payments],Data[PRAPM102
Line of Business], "PEBB",Data[PRAPM101 Billing Provider or Org Entity Type], "5")</f>
        <v>0</v>
      </c>
      <c r="M64" s="37" t="s">
        <v>57</v>
      </c>
      <c r="N64" s="48">
        <f>SUMIFS(Data[Prorated &amp; abs value PRAPM109
Total Claims Payments],Data[PRAPM102
Line of Business], "OEBB",Data[PRAPM101 Billing Provider or Org Entity Type], "5")+SUMIFS(Data[Prorated &amp; abs value
PRAPM110
Total Non-Claims Payments],Data[PRAPM102
Line of Business], "OEBB",Data[PRAPM101 Billing Provider or Org Entity Type], "5")</f>
        <v>0</v>
      </c>
    </row>
    <row r="65" spans="1:14" x14ac:dyDescent="0.25">
      <c r="A65" s="37" t="s">
        <v>58</v>
      </c>
      <c r="B65" s="48">
        <f>SUMIFS(Data[Prorated &amp; abs value PRAPM109
Total Claims Payments],Data[PRAPM102
Line of Business], "COMM",Data[PRAPM101 Billing Provider or Org Entity Type], "6")+SUMIFS(Data[Prorated &amp; abs value
PRAPM110
Total Non-Claims Payments],Data[PRAPM102
Line of Business], "COMM",Data[PRAPM101 Billing Provider or Org Entity Type], "6")</f>
        <v>0</v>
      </c>
      <c r="D65" s="37" t="s">
        <v>58</v>
      </c>
      <c r="E65" s="48">
        <f>SUMIFS(Data[Prorated &amp; abs value PRAPM109
Total Claims Payments],Data[PRAPM102
Line of Business], "MADV",Data[PRAPM101 Billing Provider or Org Entity Type], "6")+SUMIFS(Data[Prorated &amp; abs value
PRAPM110
Total Non-Claims Payments],Data[PRAPM102
Line of Business], "MADV",Data[PRAPM101 Billing Provider or Org Entity Type], "6")</f>
        <v>0</v>
      </c>
      <c r="G65" s="37" t="s">
        <v>58</v>
      </c>
      <c r="H65" s="48">
        <f>SUMIFS(Data[Prorated &amp; abs value PRAPM109
Total Claims Payments],Data[PRAPM102
Line of Business], "CCO",Data[PRAPM101 Billing Provider or Org Entity Type], "6")+SUMIFS(Data[Prorated &amp; abs value
PRAPM110
Total Non-Claims Payments],Data[PRAPM102
Line of Business], "CCO",Data[PRAPM101 Billing Provider or Org Entity Type], "6")</f>
        <v>0</v>
      </c>
      <c r="J65" s="37" t="s">
        <v>58</v>
      </c>
      <c r="K65" s="48">
        <f>SUMIFS(Data[Prorated &amp; abs value PRAPM109
Total Claims Payments],Data[PRAPM102
Line of Business], "PEBB",Data[PRAPM101 Billing Provider or Org Entity Type], "6")+SUMIFS(Data[Prorated &amp; abs value
PRAPM110
Total Non-Claims Payments],Data[PRAPM102
Line of Business], "PEBB",Data[PRAPM101 Billing Provider or Org Entity Type], "6")</f>
        <v>0</v>
      </c>
      <c r="M65" s="37" t="s">
        <v>58</v>
      </c>
      <c r="N65" s="48">
        <f>SUMIFS(Data[Prorated &amp; abs value PRAPM109
Total Claims Payments],Data[PRAPM102
Line of Business], "OEBB",Data[PRAPM101 Billing Provider or Org Entity Type], "6")+SUMIFS(Data[Prorated &amp; abs value
PRAPM110
Total Non-Claims Payments],Data[PRAPM102
Line of Business], "OEBB",Data[PRAPM101 Billing Provider or Org Entity Type], "6")</f>
        <v>0</v>
      </c>
    </row>
    <row r="66" spans="1:14" x14ac:dyDescent="0.25">
      <c r="A66" s="37" t="s">
        <v>59</v>
      </c>
      <c r="B66" s="48">
        <f>SUMIFS(Data[Prorated &amp; abs value PRAPM109
Total Claims Payments],Data[PRAPM102
Line of Business], "COMM",Data[PRAPM101 Billing Provider or Org Entity Type], "7")+SUMIFS(Data[Prorated &amp; abs value
PRAPM110
Total Non-Claims Payments],Data[PRAPM102
Line of Business], "COMM",Data[PRAPM101 Billing Provider or Org Entity Type], "7")</f>
        <v>0</v>
      </c>
      <c r="D66" s="37" t="s">
        <v>59</v>
      </c>
      <c r="E66" s="48">
        <f>SUMIFS(Data[Prorated &amp; abs value PRAPM109
Total Claims Payments],Data[PRAPM102
Line of Business], "MADV",Data[PRAPM101 Billing Provider or Org Entity Type], "7")+SUMIFS(Data[Prorated &amp; abs value
PRAPM110
Total Non-Claims Payments],Data[PRAPM102
Line of Business], "MADV",Data[PRAPM101 Billing Provider or Org Entity Type], "7")</f>
        <v>0</v>
      </c>
      <c r="G66" s="37" t="s">
        <v>59</v>
      </c>
      <c r="H66" s="48">
        <f>SUMIFS(Data[Prorated &amp; abs value PRAPM109
Total Claims Payments],Data[PRAPM102
Line of Business], "CCO",Data[PRAPM101 Billing Provider or Org Entity Type], "7")+SUMIFS(Data[Prorated &amp; abs value
PRAPM110
Total Non-Claims Payments],Data[PRAPM102
Line of Business], "CCO",Data[PRAPM101 Billing Provider or Org Entity Type], "7")</f>
        <v>0</v>
      </c>
      <c r="J66" s="37" t="s">
        <v>59</v>
      </c>
      <c r="K66" s="48">
        <f>SUMIFS(Data[Prorated &amp; abs value PRAPM109
Total Claims Payments],Data[PRAPM102
Line of Business], "PEBB",Data[PRAPM101 Billing Provider or Org Entity Type], "7")+SUMIFS(Data[Prorated &amp; abs value
PRAPM110
Total Non-Claims Payments],Data[PRAPM102
Line of Business], "PEBB",Data[PRAPM101 Billing Provider or Org Entity Type], "7")</f>
        <v>0</v>
      </c>
      <c r="M66" s="37" t="s">
        <v>59</v>
      </c>
      <c r="N66" s="48">
        <f>SUMIFS(Data[Prorated &amp; abs value PRAPM109
Total Claims Payments],Data[PRAPM102
Line of Business], "OEBB",Data[PRAPM101 Billing Provider or Org Entity Type], "7")+SUMIFS(Data[Prorated &amp; abs value
PRAPM110
Total Non-Claims Payments],Data[PRAPM102
Line of Business], "OEBB",Data[PRAPM101 Billing Provider or Org Entity Type], "7")</f>
        <v>0</v>
      </c>
    </row>
    <row r="67" spans="1:14" x14ac:dyDescent="0.25">
      <c r="A67" s="37" t="s">
        <v>60</v>
      </c>
      <c r="B67" s="48">
        <f>SUMIFS(Data[Prorated &amp; abs value PRAPM109
Total Claims Payments],Data[PRAPM102
Line of Business], "COMM",Data[PRAPM101 Billing Provider or Org Entity Type], "8")+SUMIFS(Data[Prorated &amp; abs value
PRAPM110
Total Non-Claims Payments],Data[PRAPM102
Line of Business], "COMM",Data[PRAPM101 Billing Provider or Org Entity Type], "8")</f>
        <v>0</v>
      </c>
      <c r="D67" s="37" t="s">
        <v>60</v>
      </c>
      <c r="E67" s="48">
        <f>SUMIFS(Data[Prorated &amp; abs value PRAPM109
Total Claims Payments],Data[PRAPM102
Line of Business], "MADV",Data[PRAPM101 Billing Provider or Org Entity Type], "8")+SUMIFS(Data[Prorated &amp; abs value
PRAPM110
Total Non-Claims Payments],Data[PRAPM102
Line of Business], "MADV",Data[PRAPM101 Billing Provider or Org Entity Type], "8")</f>
        <v>0</v>
      </c>
      <c r="G67" s="37" t="s">
        <v>60</v>
      </c>
      <c r="H67" s="48">
        <f>SUMIFS(Data[Prorated &amp; abs value PRAPM109
Total Claims Payments],Data[PRAPM102
Line of Business], "CCO",Data[PRAPM101 Billing Provider or Org Entity Type], "8")+SUMIFS(Data[Prorated &amp; abs value
PRAPM110
Total Non-Claims Payments],Data[PRAPM102
Line of Business], "CCO",Data[PRAPM101 Billing Provider or Org Entity Type], "8")</f>
        <v>0</v>
      </c>
      <c r="J67" s="37" t="s">
        <v>60</v>
      </c>
      <c r="K67" s="48">
        <f>SUMIFS(Data[Prorated &amp; abs value PRAPM109
Total Claims Payments],Data[PRAPM102
Line of Business], "PEBB",Data[PRAPM101 Billing Provider or Org Entity Type], "8")+SUMIFS(Data[Prorated &amp; abs value
PRAPM110
Total Non-Claims Payments],Data[PRAPM102
Line of Business], "PEBB",Data[PRAPM101 Billing Provider or Org Entity Type], "8")</f>
        <v>0</v>
      </c>
      <c r="M67" s="37" t="s">
        <v>60</v>
      </c>
      <c r="N67" s="48">
        <f>SUMIFS(Data[Prorated &amp; abs value PRAPM109
Total Claims Payments],Data[PRAPM102
Line of Business], "OEBB",Data[PRAPM101 Billing Provider or Org Entity Type], "8")+SUMIFS(Data[Prorated &amp; abs value
PRAPM110
Total Non-Claims Payments],Data[PRAPM102
Line of Business], "OEBB",Data[PRAPM101 Billing Provider or Org Entity Type], "8")</f>
        <v>0</v>
      </c>
    </row>
    <row r="68" spans="1:14" x14ac:dyDescent="0.25">
      <c r="F68" s="17"/>
      <c r="G68" s="8"/>
      <c r="I68" s="8"/>
      <c r="J68" s="8"/>
      <c r="L68" s="20"/>
      <c r="M68" s="8"/>
    </row>
    <row r="69" spans="1:14" x14ac:dyDescent="0.25">
      <c r="F69" s="17"/>
      <c r="G69" s="8"/>
      <c r="I69" s="8"/>
      <c r="J69" s="8"/>
      <c r="L69" s="20"/>
      <c r="M69" s="8"/>
    </row>
    <row r="70" spans="1:14" x14ac:dyDescent="0.25">
      <c r="F70" s="16"/>
      <c r="G70" s="5"/>
      <c r="I70" s="5"/>
      <c r="J70" s="6"/>
      <c r="M70" s="6"/>
    </row>
    <row r="71" spans="1:14" x14ac:dyDescent="0.25">
      <c r="A71" s="22" t="s">
        <v>66</v>
      </c>
      <c r="F71" s="7"/>
      <c r="G71" s="6"/>
      <c r="I71" s="5"/>
      <c r="J71" s="6"/>
      <c r="M71" s="6"/>
    </row>
    <row r="72" spans="1:14" x14ac:dyDescent="0.25">
      <c r="A72" s="3" t="s">
        <v>67</v>
      </c>
      <c r="F72" s="6"/>
      <c r="G72" s="6"/>
      <c r="I72" s="5"/>
      <c r="J72" s="6"/>
      <c r="M72" s="6"/>
    </row>
    <row r="73" spans="1:14" x14ac:dyDescent="0.25">
      <c r="A73" s="37" t="s">
        <v>68</v>
      </c>
      <c r="B73" s="10"/>
      <c r="D73" s="37" t="s">
        <v>72</v>
      </c>
      <c r="E73" s="10"/>
      <c r="F73" s="6"/>
      <c r="G73" s="37" t="s">
        <v>73</v>
      </c>
      <c r="H73" s="10"/>
      <c r="I73" s="5"/>
      <c r="J73" s="37" t="s">
        <v>74</v>
      </c>
      <c r="K73" s="10"/>
      <c r="M73" s="37" t="s">
        <v>75</v>
      </c>
      <c r="N73" s="10"/>
    </row>
    <row r="74" spans="1:14" ht="30" x14ac:dyDescent="0.25">
      <c r="A74" s="39" t="s">
        <v>69</v>
      </c>
      <c r="B74" s="48">
        <f>SUMIFS(Data[Prorated &amp; abs value PRAPM107
Total Primary Care Claims Payments],Data[PRAPM102
Line of Business], "COMM")</f>
        <v>0</v>
      </c>
      <c r="D74" s="39" t="s">
        <v>69</v>
      </c>
      <c r="E74" s="48">
        <f>SUMIFS(Data[Prorated &amp; abs value PRAPM107
Total Primary Care Claims Payments],Data[PRAPM102
Line of Business], "MADV")</f>
        <v>0</v>
      </c>
      <c r="G74" s="39" t="s">
        <v>69</v>
      </c>
      <c r="H74" s="48">
        <f>SUMIFS(Data[Prorated &amp; abs value PRAPM107
Total Primary Care Claims Payments],Data[PRAPM102
Line of Business], "CCO")</f>
        <v>0</v>
      </c>
      <c r="J74" s="39" t="s">
        <v>69</v>
      </c>
      <c r="K74" s="48">
        <f>SUMIFS(Data[Prorated &amp; abs value PRAPM107
Total Primary Care Claims Payments],Data[PRAPM102
Line of Business], "PEBB")</f>
        <v>0</v>
      </c>
      <c r="M74" s="39" t="s">
        <v>69</v>
      </c>
      <c r="N74" s="48">
        <f>SUMIFS(Data[Prorated &amp; abs value PRAPM107
Total Primary Care Claims Payments],Data[PRAPM102
Line of Business], "OEBB")</f>
        <v>0</v>
      </c>
    </row>
    <row r="75" spans="1:14" ht="45" x14ac:dyDescent="0.25">
      <c r="A75" s="39" t="s">
        <v>70</v>
      </c>
      <c r="B75" s="48">
        <f>SUMIFS(Data[Prorated &amp; abs value PRAPM108
Total Primary Care Non-Claims Payments],Data[PRAPM102
Line of Business], "COMM")</f>
        <v>0</v>
      </c>
      <c r="D75" s="39" t="s">
        <v>70</v>
      </c>
      <c r="E75" s="48">
        <f>SUMIFS(Data[Prorated &amp; abs value PRAPM108
Total Primary Care Non-Claims Payments],Data[PRAPM102
Line of Business], "MADV")</f>
        <v>0</v>
      </c>
      <c r="G75" s="39" t="s">
        <v>70</v>
      </c>
      <c r="H75" s="48">
        <f>SUMIFS(Data[Prorated &amp; abs value PRAPM108
Total Primary Care Non-Claims Payments],Data[PRAPM102
Line of Business], "CCO")</f>
        <v>0</v>
      </c>
      <c r="I75" s="2"/>
      <c r="J75" s="39" t="s">
        <v>70</v>
      </c>
      <c r="K75" s="48">
        <f>SUMIFS(Data[Prorated &amp; abs value PRAPM108
Total Primary Care Non-Claims Payments],Data[PRAPM102
Line of Business], "PEBB")</f>
        <v>0</v>
      </c>
      <c r="M75" s="39" t="s">
        <v>70</v>
      </c>
      <c r="N75" s="48">
        <f>SUMIFS(Data[Prorated &amp; abs value PRAPM108
Total Primary Care Non-Claims Payments],Data[PRAPM102
Line of Business], "OEBB")</f>
        <v>0</v>
      </c>
    </row>
    <row r="76" spans="1:14" ht="30" x14ac:dyDescent="0.25">
      <c r="A76" s="39" t="s">
        <v>0</v>
      </c>
      <c r="B76" s="48">
        <f>SUMIFS(Data[Prorated &amp; abs value PRAPM109
Total Claims Payments],Data[PRAPM102
Line of Business], "COMM")</f>
        <v>0</v>
      </c>
      <c r="D76" s="39" t="s">
        <v>0</v>
      </c>
      <c r="E76" s="48">
        <f>SUMIFS(Data[Prorated &amp; abs value PRAPM109
Total Claims Payments],Data[PRAPM102
Line of Business], "MADV")</f>
        <v>0</v>
      </c>
      <c r="G76" s="39" t="s">
        <v>0</v>
      </c>
      <c r="H76" s="48">
        <f>SUMIFS(Data[Prorated &amp; abs value PRAPM109
Total Claims Payments],Data[PRAPM102
Line of Business], "CCO")</f>
        <v>0</v>
      </c>
      <c r="J76" s="39" t="s">
        <v>0</v>
      </c>
      <c r="K76" s="48">
        <f>SUMIFS(Data[Prorated &amp; abs value PRAPM109
Total Claims Payments],Data[PRAPM102
Line of Business], "PEBB")</f>
        <v>0</v>
      </c>
      <c r="M76" s="39" t="s">
        <v>0</v>
      </c>
      <c r="N76" s="48">
        <f>SUMIFS(Data[Prorated &amp; abs value PRAPM109
Total Claims Payments],Data[PRAPM102
Line of Business], "OEBB")</f>
        <v>0</v>
      </c>
    </row>
    <row r="77" spans="1:14" ht="30" x14ac:dyDescent="0.25">
      <c r="A77" s="39" t="s">
        <v>3</v>
      </c>
      <c r="B77" s="48">
        <f>SUMIFS(Data[Prorated &amp; abs value
PRAPM110
Total Non-Claims Payments],Data[PRAPM102
Line of Business], "COMM")</f>
        <v>0</v>
      </c>
      <c r="D77" s="39" t="s">
        <v>3</v>
      </c>
      <c r="E77" s="48">
        <f>SUMIFS(Data[Prorated &amp; abs value
PRAPM110
Total Non-Claims Payments],Data[PRAPM102
Line of Business], "MADV")</f>
        <v>0</v>
      </c>
      <c r="G77" s="39" t="s">
        <v>3</v>
      </c>
      <c r="H77" s="48">
        <f>SUMIFS(Data[Prorated &amp; abs value
PRAPM110
Total Non-Claims Payments],Data[PRAPM102
Line of Business], "CCO")</f>
        <v>0</v>
      </c>
      <c r="J77" s="39" t="s">
        <v>3</v>
      </c>
      <c r="K77" s="48">
        <f>SUMIFS(Data[Prorated &amp; abs value
PRAPM110
Total Non-Claims Payments],Data[PRAPM102
Line of Business], "PEBB")</f>
        <v>0</v>
      </c>
      <c r="M77" s="39" t="s">
        <v>3</v>
      </c>
      <c r="N77" s="48">
        <f>SUMIFS(Data[Prorated &amp; abs value
PRAPM110
Total Non-Claims Payments],Data[PRAPM102
Line of Business], "OEBB")</f>
        <v>0</v>
      </c>
    </row>
    <row r="78" spans="1:14" x14ac:dyDescent="0.25">
      <c r="A78" s="3" t="s">
        <v>71</v>
      </c>
      <c r="B78" s="55" t="e">
        <f>(B74+B75)/(B76+B77)</f>
        <v>#DIV/0!</v>
      </c>
      <c r="D78" s="3" t="s">
        <v>71</v>
      </c>
      <c r="E78" s="55" t="e">
        <f>(E74+E75)/(E76+E77)</f>
        <v>#DIV/0!</v>
      </c>
      <c r="G78" s="3" t="s">
        <v>71</v>
      </c>
      <c r="H78" s="55" t="e">
        <f>(H74+H75)/(H76+H77)</f>
        <v>#DIV/0!</v>
      </c>
      <c r="J78" s="3" t="s">
        <v>71</v>
      </c>
      <c r="K78" s="55" t="e">
        <f>(K74+K75)/(K76+K77)</f>
        <v>#DIV/0!</v>
      </c>
      <c r="M78" s="3" t="s">
        <v>71</v>
      </c>
      <c r="N78" s="55" t="e">
        <f>(N74+N75)/(N76+N77)</f>
        <v>#DIV/0!</v>
      </c>
    </row>
  </sheetData>
  <mergeCells count="1">
    <mergeCell ref="A22:B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9F54-4595-4649-A5CD-416EAE1DC03E}">
  <dimension ref="A1"/>
  <sheetViews>
    <sheetView workbookViewId="0">
      <selection activeCell="V21" sqref="V21"/>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E2FD-5BCA-47C1-9546-704CD6966D25}">
  <dimension ref="A1:H14"/>
  <sheetViews>
    <sheetView workbookViewId="0">
      <selection activeCell="H18" sqref="H18"/>
    </sheetView>
  </sheetViews>
  <sheetFormatPr defaultRowHeight="15" x14ac:dyDescent="0.25"/>
  <cols>
    <col min="2" max="2" width="26.7109375" customWidth="1"/>
    <col min="8" max="8" width="66.5703125" customWidth="1"/>
  </cols>
  <sheetData>
    <row r="1" spans="1:8" x14ac:dyDescent="0.25">
      <c r="A1" s="77" t="s">
        <v>90</v>
      </c>
      <c r="B1" s="69" t="s">
        <v>99</v>
      </c>
      <c r="H1" s="66" t="s">
        <v>119</v>
      </c>
    </row>
    <row r="2" spans="1:8" x14ac:dyDescent="0.25">
      <c r="A2" s="70" t="s">
        <v>108</v>
      </c>
      <c r="B2" s="71">
        <v>1</v>
      </c>
      <c r="H2" s="75">
        <f>DATE(README!D3-1,12,31)</f>
        <v>44926</v>
      </c>
    </row>
    <row r="3" spans="1:8" ht="15.75" thickBot="1" x14ac:dyDescent="0.3">
      <c r="A3" s="72" t="s">
        <v>91</v>
      </c>
      <c r="B3" s="71">
        <v>2</v>
      </c>
      <c r="H3" s="76">
        <f>DATE(README!D3+1, 1,1)</f>
        <v>45292</v>
      </c>
    </row>
    <row r="4" spans="1:8" x14ac:dyDescent="0.25">
      <c r="A4" s="72" t="s">
        <v>92</v>
      </c>
      <c r="B4" s="71">
        <v>3</v>
      </c>
    </row>
    <row r="5" spans="1:8" x14ac:dyDescent="0.25">
      <c r="A5" s="72" t="s">
        <v>2</v>
      </c>
      <c r="B5" s="71">
        <v>4</v>
      </c>
    </row>
    <row r="6" spans="1:8" x14ac:dyDescent="0.25">
      <c r="A6" s="72" t="s">
        <v>93</v>
      </c>
      <c r="B6" s="71">
        <v>5</v>
      </c>
    </row>
    <row r="7" spans="1:8" x14ac:dyDescent="0.25">
      <c r="A7" s="72" t="s">
        <v>94</v>
      </c>
      <c r="B7" s="71">
        <v>6</v>
      </c>
    </row>
    <row r="8" spans="1:8" x14ac:dyDescent="0.25">
      <c r="A8" s="72" t="s">
        <v>95</v>
      </c>
      <c r="B8" s="71">
        <v>7</v>
      </c>
    </row>
    <row r="9" spans="1:8" x14ac:dyDescent="0.25">
      <c r="A9" s="72" t="s">
        <v>87</v>
      </c>
      <c r="B9" s="71">
        <v>8</v>
      </c>
    </row>
    <row r="10" spans="1:8" x14ac:dyDescent="0.25">
      <c r="A10" s="72" t="s">
        <v>86</v>
      </c>
      <c r="B10" s="71">
        <v>9</v>
      </c>
    </row>
    <row r="11" spans="1:8" x14ac:dyDescent="0.25">
      <c r="A11" s="72" t="s">
        <v>4</v>
      </c>
      <c r="B11" s="71">
        <v>10</v>
      </c>
    </row>
    <row r="12" spans="1:8" x14ac:dyDescent="0.25">
      <c r="A12" s="72" t="s">
        <v>96</v>
      </c>
      <c r="B12" s="71">
        <v>11</v>
      </c>
    </row>
    <row r="13" spans="1:8" x14ac:dyDescent="0.25">
      <c r="A13" s="72" t="s">
        <v>97</v>
      </c>
      <c r="B13" s="71">
        <v>12</v>
      </c>
    </row>
    <row r="14" spans="1:8" ht="15.75" thickBot="1" x14ac:dyDescent="0.3">
      <c r="A14" s="73" t="s">
        <v>98</v>
      </c>
      <c r="B14" s="74">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E839F3F9448F4D9AD68FF68A1ADF42" ma:contentTypeVersion="13" ma:contentTypeDescription="Create a new document." ma:contentTypeScope="" ma:versionID="4696a566f4c99bf9f6ebb25d125c23b7">
  <xsd:schema xmlns:xsd="http://www.w3.org/2001/XMLSchema" xmlns:xs="http://www.w3.org/2001/XMLSchema" xmlns:p="http://schemas.microsoft.com/office/2006/metadata/properties" xmlns:ns1="http://schemas.microsoft.com/sharepoint/v3" xmlns:ns2="34b6894d-4e78-4615-860a-7a8e18fdf2e4" xmlns:ns4="59da1016-2a1b-4f8a-9768-d7a4932f6f16" targetNamespace="http://schemas.microsoft.com/office/2006/metadata/properties" ma:root="true" ma:fieldsID="e11382ddfbb8e9ece1ccbd8c7945c807" ns1:_="" ns2:_="" ns4:_="">
    <xsd:import namespace="http://schemas.microsoft.com/sharepoint/v3"/>
    <xsd:import namespace="34b6894d-4e78-4615-860a-7a8e18fdf2e4"/>
    <xsd:import namespace="59da1016-2a1b-4f8a-9768-d7a4932f6f16"/>
    <xsd:element name="properties">
      <xsd:complexType>
        <xsd:sequence>
          <xsd:element name="documentManagement">
            <xsd:complexType>
              <xsd:all>
                <xsd:element ref="ns2:CopyToStateLib" minOccurs="0"/>
                <xsd:element ref="ns2:DocumentLocale" minOccurs="0"/>
                <xsd:element ref="ns2:Metadata" minOccurs="0"/>
                <xsd:element ref="ns2:RetentionPeriodDate" minOccurs="0"/>
                <xsd:element ref="ns1:RoutingRuleDescription"/>
                <xsd:element ref="ns4:IACategory" minOccurs="0"/>
                <xsd:element ref="ns4:IATopic" minOccurs="0"/>
                <xsd:element ref="ns4:IASubtopic" minOccurs="0"/>
                <xsd:element ref="ns4:DocumentExpirationDate" minOccurs="0"/>
                <xsd:element ref="ns2:Meta_x0020_Description" minOccurs="0"/>
                <xsd:element ref="ns2:Meta_x0020_Keywords" minOccurs="0"/>
                <xsd:element ref="ns1:URL"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ma:displayName="Description" ma:description="" ma:internalName="RoutingRuleDescription" ma:readOnly="false">
      <xsd:simpleType>
        <xsd:restriction base="dms:Text">
          <xsd:maxLength value="255"/>
        </xsd:restriction>
      </xsd:simpleType>
    </xsd:element>
    <xsd:element name="URL" ma:index="1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b6894d-4e78-4615-860a-7a8e18fdf2e4" elementFormDefault="qualified">
    <xsd:import namespace="http://schemas.microsoft.com/office/2006/documentManagement/types"/>
    <xsd:import namespace="http://schemas.microsoft.com/office/infopath/2007/PartnerControls"/>
    <xsd:element name="CopyToStateLib" ma:index="4" nillable="true" ma:displayName="Copy To State Library" ma:default="0" ma:description="Many documents are automatically archived by the Oregon State Library. Choose 'Yes' to ensure that this document will be archived. Follow this link for more information: http://oregon.gov/OSL/GRES/metatag_attribute_set.shtml" ma:internalName="CopyToStateLib" ma:readOnly="false">
      <xsd:simpleType>
        <xsd:restriction base="dms:Boolean"/>
      </xsd:simpleType>
    </xsd:element>
    <xsd:element name="DocumentLocale" ma:index="5" nillable="true" ma:displayName="Locale" ma:default="en" ma:internalName="DocumentLocale" ma:readOnly="false">
      <xsd:simpleType>
        <xsd:restriction base="dms:Text">
          <xsd:maxLength value="10"/>
        </xsd:restriction>
      </xsd:simpleType>
    </xsd:element>
    <xsd:element name="Metadata" ma:index="6" nillable="true" ma:displayName="Metadata" ma:internalName="Metadata" ma:readOnly="false">
      <xsd:simpleType>
        <xsd:restriction base="dms:Note"/>
      </xsd:simpleType>
    </xsd:element>
    <xsd:element name="RetentionPeriodDate" ma:index="7" nillable="true" ma:displayName="Retention Period Date" ma:format="DateOnly" ma:internalName="RetentionPeriodDate" ma:readOnly="false">
      <xsd:simpleType>
        <xsd:restriction base="dms:DateTime"/>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element name="Category" ma:index="17" nillable="true" ma:displayName="Category" ma:default="DRC" ma:internalName="Category" ma:readOnly="false">
      <xsd:complexType>
        <xsd:complexContent>
          <xsd:extension base="dms:MultiChoice">
            <xsd:sequence>
              <xsd:element name="Value" maxOccurs="unbounded" minOccurs="0" nillable="true">
                <xsd:simpleType>
                  <xsd:restriction base="dms:Choice">
                    <xsd:enumeration value="DRC"/>
                    <xsd:enumeration value="TAG"/>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3" ma:displayName="Titl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RoutingRuleDescription xmlns="http://schemas.microsoft.com/sharepoint/v3">Appendix-1-Excel-template-version-2024.1</RoutingRuleDescription>
    <RetentionPeriodDate xmlns="34b6894d-4e78-4615-860a-7a8e18fdf2e4" xsi:nil="true"/>
    <DocumentLocale xmlns="34b6894d-4e78-4615-860a-7a8e18fdf2e4">en</DocumentLocale>
    <Meta_x0020_Description xmlns="34b6894d-4e78-4615-860a-7a8e18fdf2e4" xsi:nil="true"/>
    <CopyToStateLib xmlns="34b6894d-4e78-4615-860a-7a8e18fdf2e4">false</CopyToStateLib>
    <Metadata xmlns="34b6894d-4e78-4615-860a-7a8e18fdf2e4" xsi:nil="true"/>
    <Meta_x0020_Keywords xmlns="34b6894d-4e78-4615-860a-7a8e18fdf2e4" xsi:nil="true"/>
    <Category xmlns="34b6894d-4e78-4615-860a-7a8e18fdf2e4"/>
  </documentManagement>
</p:properties>
</file>

<file path=customXml/itemProps1.xml><?xml version="1.0" encoding="utf-8"?>
<ds:datastoreItem xmlns:ds="http://schemas.openxmlformats.org/officeDocument/2006/customXml" ds:itemID="{B7B69758-B871-4BA2-97FA-293F996E0272}">
  <ds:schemaRefs>
    <ds:schemaRef ds:uri="http://schemas.microsoft.com/sharepoint/v3/contenttype/forms"/>
  </ds:schemaRefs>
</ds:datastoreItem>
</file>

<file path=customXml/itemProps2.xml><?xml version="1.0" encoding="utf-8"?>
<ds:datastoreItem xmlns:ds="http://schemas.openxmlformats.org/officeDocument/2006/customXml" ds:itemID="{317552DD-D271-44BF-AABE-CE31BAB66A61}"/>
</file>

<file path=customXml/itemProps3.xml><?xml version="1.0" encoding="utf-8"?>
<ds:datastoreItem xmlns:ds="http://schemas.openxmlformats.org/officeDocument/2006/customXml" ds:itemID="{CD863D7B-9D92-4C64-84DA-57B9139CC22E}">
  <ds:schemaRefs>
    <ds:schemaRef ds:uri="http://schemas.microsoft.com/office/2006/metadata/properties"/>
    <ds:schemaRef ds:uri="http://schemas.microsoft.com/office/infopath/2007/PartnerControls"/>
    <ds:schemaRef ds:uri="59da1016-2a1b-4f8a-9768-d7a4932f6f16"/>
    <ds:schemaRef ds:uri="34b74753-36bf-4d40-84e0-3557ee93d260"/>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Data</vt:lpstr>
      <vt:lpstr>Summary_calculations</vt:lpstr>
      <vt:lpstr>HCP-LAN for reference</vt:lpstr>
      <vt:lpstr>payment_type_hierarchy_hide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Appendix-1-Excel-template</dc:title>
  <dc:creator>Trang Weitemier</dc:creator>
  <cp:keywords/>
  <cp:lastModifiedBy>Yi-Shan Sung (she/her)</cp:lastModifiedBy>
  <dcterms:created xsi:type="dcterms:W3CDTF">2019-08-23T19:45:32Z</dcterms:created>
  <dcterms:modified xsi:type="dcterms:W3CDTF">2024-07-31T23:01:18Z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0x01010020E839F3F9448F4D9AD68FF68A1ADF42</vt:lpwstr>
  </property>
  <property fmtid="{D5CDD505-2E9C-101B-9397-08002B2CF9AE}" pid="3" name="MSIP_Label_ebdd6eeb-0dd0-4927-947e-a759f08fcf55_Enabled">
    <vt:lpwstr>true</vt:lpwstr>
  </property>
  <property fmtid="{D5CDD505-2E9C-101B-9397-08002B2CF9AE}" pid="4" name="MSIP_Label_ebdd6eeb-0dd0-4927-947e-a759f08fcf55_SetDate">
    <vt:lpwstr>2024-07-31T22:53:30Z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ab9b6948-a869-429a-8e6d-f444888cc447</vt:lpwstr>
  </property>
  <property fmtid="{D5CDD505-2E9C-101B-9397-08002B2CF9AE}" pid="9" name="MSIP_Label_ebdd6eeb-0dd0-4927-947e-a759f08fcf55_ContentBits">
    <vt:lpwstr>0</vt:lpwstr>
  </property>
</Properties>
</file>