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activeX/activeX1.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4.xml" ContentType="application/vnd.ms-office.activeX+xml"/>
  <Override PartName="/xl/activeX/activeX9.xml" ContentType="application/vnd.ms-office.activeX+xml"/>
  <Override PartName="/xl/activeX/activeX9.bin" ContentType="application/vnd.ms-office.activeX"/>
  <Override PartName="/xl/activeX/activeX4.bin" ContentType="application/vnd.ms-office.activeX"/>
  <Override PartName="/xl/activeX/activeX10.xml" ContentType="application/vnd.ms-office.activeX+xml"/>
  <Override PartName="/xl/activeX/activeX10.bin" ContentType="application/vnd.ms-office.activeX"/>
  <Override PartName="/xl/activeX/activeX3.bin" ContentType="application/vnd.ms-office.activeX"/>
  <Override PartName="/xl/activeX/activeX11.xml" ContentType="application/vnd.ms-office.activeX+xml"/>
  <Override PartName="/xl/activeX/activeX11.bin" ContentType="application/vnd.ms-office.activeX"/>
  <Override PartName="/xl/activeX/activeX1.bin" ContentType="application/vnd.ms-office.activeX"/>
  <Override PartName="/xl/activeX/activeX5.xml" ContentType="application/vnd.ms-office.activeX+xml"/>
  <Override PartName="/xl/activeX/activeX5.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activeX/activeX2.bin" ContentType="application/vnd.ms-office.activeX"/>
  <Override PartName="/xl/activeX/activeX2.xml" ContentType="application/vnd.ms-office.activeX+xml"/>
  <Override PartName="/xl/activeX/activeX3.xml" ContentType="application/vnd.ms-office.activeX+xml"/>
  <Override PartName="/xl/activeX/activeX6.xml" ContentType="application/vnd.ms-office.activeX+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https://dhsoha-my.sharepoint.com/personal/sara_d_woodcock_odhs_oregon_gov/Documents/Drop/"/>
    </mc:Choice>
  </mc:AlternateContent>
  <xr:revisionPtr revIDLastSave="0" documentId="8_{8C7AD0B6-F373-40E7-9E55-351D676B79C6}" xr6:coauthVersionLast="47" xr6:coauthVersionMax="47" xr10:uidLastSave="{00000000-0000-0000-0000-000000000000}"/>
  <bookViews>
    <workbookView xWindow="28680" yWindow="1785" windowWidth="29040" windowHeight="15840" tabRatio="855" firstSheet="1" activeTab="1" xr2:uid="{00000000-000D-0000-FFFF-FFFF00000000}"/>
  </bookViews>
  <sheets>
    <sheet name="Instructions" sheetId="22" state="hidden" r:id="rId1"/>
    <sheet name="Index" sheetId="67" r:id="rId2"/>
    <sheet name="3. Population-NSIP#" sheetId="5" r:id="rId3"/>
    <sheet name="4. Award History&amp;Projections " sheetId="40" r:id="rId4"/>
    <sheet name="5. Alloc Summary" sheetId="42" r:id="rId5"/>
    <sheet name="Base" sheetId="66" state="hidden" r:id="rId6"/>
    <sheet name="6. III B" sheetId="7" r:id="rId7"/>
    <sheet name="District AAA crosswalk" sheetId="18" state="hidden" r:id="rId8"/>
    <sheet name="7. III C-1" sheetId="9" r:id="rId9"/>
    <sheet name="8. III C-2" sheetId="10" r:id="rId10"/>
    <sheet name="9. III D" sheetId="11" r:id="rId11"/>
    <sheet name="10. III E" sheetId="12" r:id="rId12"/>
    <sheet name="VII A" sheetId="16" state="hidden" r:id="rId13"/>
    <sheet name="VII A-LTCO" sheetId="56" r:id="rId14"/>
    <sheet name="11. VII B" sheetId="13" r:id="rId15"/>
    <sheet name="12. 21-23 Unspent" sheetId="45" state="hidden" r:id="rId16"/>
    <sheet name="21-23 Unspent-COVID" sheetId="64" r:id="rId17"/>
    <sheet name="13. NSIP" sheetId="19" r:id="rId18"/>
    <sheet name="NSIP-19-21 Unspent" sheetId="43" state="hidden" r:id="rId19"/>
    <sheet name="15. SPA - EB" sheetId="31" state="hidden" r:id="rId20"/>
    <sheet name="No wrong door" sheetId="50" state="hidden" r:id="rId21"/>
    <sheet name="14. SPA-Seq Mit." sheetId="39" r:id="rId22"/>
    <sheet name="16. OPI 60+" sheetId="14" r:id="rId23"/>
    <sheet name="17. OPI 19-59" sheetId="32" r:id="rId24"/>
    <sheet name="PopulationData" sheetId="21" r:id="rId25"/>
    <sheet name="Popul-ADRC sorted" sheetId="28" r:id="rId26"/>
    <sheet name="Source Information" sheetId="23" r:id="rId27"/>
    <sheet name="Land per square" sheetId="47" state="hidden" r:id="rId28"/>
  </sheets>
  <externalReferences>
    <externalReference r:id="rId29"/>
    <externalReference r:id="rId30"/>
    <externalReference r:id="rId31"/>
  </externalReferences>
  <definedNames>
    <definedName name="_xlnm._FilterDatabase" localSheetId="25">'Popul-ADRC sorted'!$A$1:$Q$53</definedName>
    <definedName name="_xlnm._FilterDatabase" localSheetId="24" hidden="1">PopulationData!$A$2:$Q$61</definedName>
    <definedName name="AAA_Train" localSheetId="26">[1]Assumptions!$J$271</definedName>
    <definedName name="AAA_Train">[2]Assumptions!$J$271</definedName>
    <definedName name="Admin_B" localSheetId="26">[1]Assumptions!$E$3</definedName>
    <definedName name="Admin_B">[2]Assumptions!$E$3</definedName>
    <definedName name="Admin_C1" localSheetId="26">[1]Assumptions!$E$4</definedName>
    <definedName name="Admin_C1">[2]Assumptions!$E$4</definedName>
    <definedName name="Admin_C2" localSheetId="26">[1]Assumptions!$E$5</definedName>
    <definedName name="Admin_C2">[2]Assumptions!$E$5</definedName>
    <definedName name="Alloc_Chg" localSheetId="19">'[2]OAA Allocations'!#REF!</definedName>
    <definedName name="Alloc_Chg" localSheetId="18">'[2]OAA Allocations'!#REF!</definedName>
    <definedName name="Alloc_Prev" localSheetId="19">'[2]OAA Allocations'!#REF!</definedName>
    <definedName name="Alloc_Prev" localSheetId="18">'[2]OAA Allocations'!#REF!</definedName>
    <definedName name="Bi_Years" localSheetId="25">[2]Assumptions!$C$209</definedName>
    <definedName name="Bi_Years" localSheetId="24">[2]Assumptions!$C$209</definedName>
    <definedName name="Bi_Years" localSheetId="26">[1]Assumptions!$C$209</definedName>
    <definedName name="Bi_Years">[3]Assumptions!$C$209</definedName>
    <definedName name="C_1Amt" localSheetId="26">[1]Assumptions!$C$218</definedName>
    <definedName name="C_1Amt">[2]Assumptions!$C$218</definedName>
    <definedName name="C_2Amt" localSheetId="26">[1]Assumptions!$C$220</definedName>
    <definedName name="C_2Amt">[2]Assumptions!$C$220</definedName>
    <definedName name="FAIN">'District AAA crosswalk'!$G$2:$I$9</definedName>
    <definedName name="GrantYears">'District AAA crosswalk'!$G$1:$I$1</definedName>
    <definedName name="K_Falls" localSheetId="25">[2]Assumptions!$E$210</definedName>
    <definedName name="K_Falls" localSheetId="24">[2]Assumptions!$E$210</definedName>
    <definedName name="K_Falls" localSheetId="26">[1]Assumptions!$E$210</definedName>
    <definedName name="K_Falls">[3]Assumptions!$E$210</definedName>
    <definedName name="Lake_Seniors" localSheetId="25">[2]Assumptions!$C$210</definedName>
    <definedName name="Lake_Seniors" localSheetId="24">[2]Assumptions!$C$210</definedName>
    <definedName name="Lake_Seniors" localSheetId="26">[1]Assumptions!$C$210</definedName>
    <definedName name="Lake_Seniors">[3]Assumptions!$C$210</definedName>
    <definedName name="Monthly_Meal_Count">#REF!</definedName>
    <definedName name="Notes">#REF!</definedName>
    <definedName name="_xlnm.Print_Area" localSheetId="11">'10. III E'!$A$1:$H$35</definedName>
    <definedName name="_xlnm.Print_Area" localSheetId="14">'11. VII B'!$A$1:$H$35</definedName>
    <definedName name="_xlnm.Print_Area" localSheetId="15">'12. 21-23 Unspent'!$A$1:$J$18</definedName>
    <definedName name="_xlnm.Print_Area" localSheetId="17">'13. NSIP'!$A$1:$H$35</definedName>
    <definedName name="_xlnm.Print_Area" localSheetId="21">'14. SPA-Seq Mit.'!$A$1:$G$34</definedName>
    <definedName name="_xlnm.Print_Area" localSheetId="19">'15. SPA - EB'!$A$1:$H$36</definedName>
    <definedName name="_xlnm.Print_Area" localSheetId="22">'16. OPI 60+'!$A$1:$G$34</definedName>
    <definedName name="_xlnm.Print_Area" localSheetId="23">'17. OPI 19-59'!$A$1:$G$34</definedName>
    <definedName name="_xlnm.Print_Area" localSheetId="16">'21-23 Unspent-COVID'!$B$1:$L$18</definedName>
    <definedName name="_xlnm.Print_Area" localSheetId="2">'3. Population-NSIP#'!$A$1:$K$30</definedName>
    <definedName name="_xlnm.Print_Area" localSheetId="3">'4. Award History&amp;Projections '!$A$1:$N$44</definedName>
    <definedName name="_xlnm.Print_Area" localSheetId="4">'5. Alloc Summary'!$A$1:$AI$20</definedName>
    <definedName name="_xlnm.Print_Area" localSheetId="6">'6. III B'!$A$1:$H$40</definedName>
    <definedName name="_xlnm.Print_Area" localSheetId="8">'7. III C-1'!$A$1:$H$36</definedName>
    <definedName name="_xlnm.Print_Area" localSheetId="9">'8. III C-2'!$A$1:$H$35</definedName>
    <definedName name="_xlnm.Print_Area" localSheetId="10">'9. III D'!$A$1:$H$35</definedName>
    <definedName name="_xlnm.Print_Area" localSheetId="7">'District AAA crosswalk'!$A$1:$B$18</definedName>
    <definedName name="_xlnm.Print_Area" localSheetId="0">Instructions!$A$1:$A$12</definedName>
    <definedName name="_xlnm.Print_Area" localSheetId="20">'No wrong door'!$A$1:$G$40</definedName>
    <definedName name="_xlnm.Print_Area" localSheetId="18">'NSIP-19-21 Unspent'!$A$1:$G$39</definedName>
    <definedName name="_xlnm.Print_Area" localSheetId="25">'Popul-ADRC sorted'!$A$1:$Q$54</definedName>
    <definedName name="_xlnm.Print_Area" localSheetId="24">PopulationData!$B$1:$R$63</definedName>
    <definedName name="_xlnm.Print_Area" localSheetId="26">'Source Information'!$A$1:$B$29</definedName>
    <definedName name="_xlnm.Print_Area" localSheetId="12">'VII A'!$A$1:$H$19</definedName>
    <definedName name="_xlnm.Print_Area" localSheetId="13">'VII A-LTCO'!$A$1:$I$24</definedName>
    <definedName name="_xlnm.Print_Titles" localSheetId="24">PopulationData!$2:$2</definedName>
    <definedName name="Titles" comment="List of Titles">'District AAA crosswalk'!$F$2:$F$9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4" l="1"/>
  <c r="H3" i="5"/>
  <c r="T20" i="42" l="1"/>
  <c r="C13" i="10"/>
  <c r="C14" i="9"/>
  <c r="B3" i="14"/>
  <c r="B2" i="14"/>
  <c r="B3" i="32"/>
  <c r="B4" i="32"/>
  <c r="B2" i="32"/>
  <c r="A4" i="19" l="1" a="1"/>
  <c r="A4" i="19" s="1"/>
  <c r="A5" i="19" a="1"/>
  <c r="A5" i="19" s="1"/>
  <c r="A3" i="19" a="1"/>
  <c r="A3" i="19" s="1"/>
  <c r="A4" i="13" a="1"/>
  <c r="A4" i="13" s="1"/>
  <c r="A5" i="13" a="1"/>
  <c r="A5" i="13" s="1"/>
  <c r="A3" i="13" a="1"/>
  <c r="A3" i="13" s="1"/>
  <c r="A4" i="56" a="1"/>
  <c r="A4" i="56" s="1"/>
  <c r="A5" i="56" a="1"/>
  <c r="A5" i="56" s="1"/>
  <c r="A3" i="56" a="1"/>
  <c r="A3" i="56" s="1"/>
  <c r="A3" i="7" a="1"/>
  <c r="A3" i="7" s="1"/>
  <c r="A4" i="12" a="1"/>
  <c r="A4" i="12" s="1"/>
  <c r="A5" i="12" a="1"/>
  <c r="A5" i="12" s="1"/>
  <c r="A3" i="12" a="1"/>
  <c r="A3" i="12" s="1"/>
  <c r="A3" i="11" a="1"/>
  <c r="A3" i="11" s="1"/>
  <c r="A4" i="11" a="1"/>
  <c r="A4" i="11" s="1"/>
  <c r="A5" i="11" a="1"/>
  <c r="A5" i="11" s="1"/>
  <c r="A4" i="10" a="1"/>
  <c r="A4" i="10" s="1"/>
  <c r="A5" i="10" a="1"/>
  <c r="A5" i="10" s="1"/>
  <c r="A3" i="10" a="1"/>
  <c r="A3" i="10" s="1"/>
  <c r="A4" i="9" a="1"/>
  <c r="A4" i="9" s="1"/>
  <c r="A5" i="9" a="1"/>
  <c r="A5" i="9" s="1"/>
  <c r="A3" i="9" a="1"/>
  <c r="A3" i="9" s="1"/>
  <c r="A4" i="7" a="1"/>
  <c r="A4" i="7" s="1"/>
  <c r="A5" i="7" a="1"/>
  <c r="A5" i="7" s="1"/>
  <c r="H12" i="66" l="1"/>
  <c r="G12" i="66"/>
  <c r="F12" i="66"/>
  <c r="E12" i="66"/>
  <c r="G11" i="66"/>
  <c r="H11" i="66" s="1"/>
  <c r="F10" i="66"/>
  <c r="H10" i="66" s="1"/>
  <c r="E9" i="66"/>
  <c r="H9" i="66" s="1"/>
  <c r="C10" i="66"/>
  <c r="C11" i="66"/>
  <c r="C9" i="66"/>
  <c r="C18" i="66"/>
  <c r="C3" i="66"/>
  <c r="C39" i="66" l="1"/>
  <c r="C38" i="66"/>
  <c r="C37" i="66"/>
  <c r="C36" i="66"/>
  <c r="C35" i="66"/>
  <c r="C34" i="66"/>
  <c r="C33" i="66"/>
  <c r="C32" i="66"/>
  <c r="C31" i="66"/>
  <c r="C30" i="66"/>
  <c r="C29" i="66"/>
  <c r="C28" i="66"/>
  <c r="C27" i="66"/>
  <c r="C26" i="66"/>
  <c r="C25" i="66"/>
  <c r="C24" i="66"/>
  <c r="H18" i="66"/>
  <c r="E3" i="66"/>
  <c r="H3" i="66" l="1"/>
  <c r="E6" i="66"/>
  <c r="C40" i="66"/>
  <c r="A19" i="42"/>
  <c r="A18" i="42"/>
  <c r="A17" i="42"/>
  <c r="A16" i="42"/>
  <c r="A15" i="42"/>
  <c r="A14" i="42"/>
  <c r="A13" i="42"/>
  <c r="A12" i="42"/>
  <c r="A11" i="42"/>
  <c r="A10" i="42"/>
  <c r="A9" i="42"/>
  <c r="A8" i="42"/>
  <c r="A7" i="42"/>
  <c r="A6" i="42"/>
  <c r="A5" i="42"/>
  <c r="A4" i="42"/>
  <c r="E7" i="66" l="1"/>
  <c r="E8" i="66" s="1"/>
  <c r="E13" i="66" s="1"/>
  <c r="L12" i="64"/>
  <c r="L8" i="64"/>
  <c r="L4" i="64"/>
  <c r="L2" i="64"/>
  <c r="L9" i="64"/>
  <c r="L6" i="64"/>
  <c r="L15" i="64"/>
  <c r="L16" i="64"/>
  <c r="L7" i="64"/>
  <c r="L10" i="64"/>
  <c r="L14" i="64"/>
  <c r="L17" i="64"/>
  <c r="L5" i="64"/>
  <c r="L11" i="64"/>
  <c r="L3" i="64"/>
  <c r="L13" i="64"/>
  <c r="L18" i="64" l="1"/>
  <c r="I18" i="64"/>
  <c r="C3" i="19" l="1"/>
  <c r="C3" i="13"/>
  <c r="H6" i="56"/>
  <c r="J17" i="64"/>
  <c r="J16" i="64"/>
  <c r="J15" i="64"/>
  <c r="J14" i="64"/>
  <c r="J13" i="64"/>
  <c r="J12" i="64"/>
  <c r="J11" i="64"/>
  <c r="J10" i="64"/>
  <c r="J9" i="64"/>
  <c r="J8" i="64"/>
  <c r="J7" i="64"/>
  <c r="J6" i="64"/>
  <c r="J5" i="64"/>
  <c r="J4" i="64"/>
  <c r="J3" i="64"/>
  <c r="J2" i="64"/>
  <c r="C3" i="12"/>
  <c r="C3" i="11"/>
  <c r="C3" i="10"/>
  <c r="C3" i="9"/>
  <c r="C3" i="7"/>
  <c r="M48" i="40"/>
  <c r="L48" i="40"/>
  <c r="K48" i="40"/>
  <c r="K38" i="40"/>
  <c r="K37" i="40"/>
  <c r="K18" i="40"/>
  <c r="J18" i="40"/>
  <c r="I18" i="40"/>
  <c r="K17" i="40"/>
  <c r="J17" i="40"/>
  <c r="I17" i="40"/>
  <c r="H17" i="40"/>
  <c r="H18" i="40" s="1"/>
  <c r="G17" i="40"/>
  <c r="G18" i="40" s="1"/>
  <c r="G38" i="40" s="1"/>
  <c r="F17" i="40"/>
  <c r="C4" i="12" s="1"/>
  <c r="E17" i="40"/>
  <c r="E18" i="40" s="1"/>
  <c r="D17" i="40"/>
  <c r="D18" i="40" s="1"/>
  <c r="C17" i="40"/>
  <c r="C18" i="40" s="1"/>
  <c r="B17" i="40"/>
  <c r="C4" i="7" s="1"/>
  <c r="G37" i="40" l="1"/>
  <c r="D37" i="40"/>
  <c r="C4" i="10"/>
  <c r="F37" i="40"/>
  <c r="C4" i="13"/>
  <c r="C5" i="13"/>
  <c r="I37" i="40"/>
  <c r="C5" i="19"/>
  <c r="I38" i="40"/>
  <c r="C4" i="19"/>
  <c r="F18" i="40"/>
  <c r="E38" i="40"/>
  <c r="C5" i="11"/>
  <c r="C4" i="11"/>
  <c r="E37" i="40"/>
  <c r="C5" i="10"/>
  <c r="D38" i="40"/>
  <c r="C5" i="9"/>
  <c r="C38" i="40"/>
  <c r="C37" i="40"/>
  <c r="C4" i="9"/>
  <c r="C4" i="66"/>
  <c r="F4" i="66" s="1"/>
  <c r="B18" i="40"/>
  <c r="B38" i="40" s="1"/>
  <c r="J37" i="40"/>
  <c r="B37" i="40"/>
  <c r="M17" i="40"/>
  <c r="H37" i="40" l="1"/>
  <c r="N37" i="40" s="1"/>
  <c r="F38" i="40"/>
  <c r="H38" i="40" s="1"/>
  <c r="C5" i="12"/>
  <c r="H4" i="66"/>
  <c r="F6" i="66"/>
  <c r="F7" i="66" s="1"/>
  <c r="C5" i="66"/>
  <c r="G5" i="66" s="1"/>
  <c r="J38" i="40"/>
  <c r="C5" i="7"/>
  <c r="M18" i="40"/>
  <c r="H7" i="56"/>
  <c r="G6" i="66" l="1"/>
  <c r="G7" i="66" s="1"/>
  <c r="G8" i="66" s="1"/>
  <c r="G13" i="66" s="1"/>
  <c r="H5" i="66"/>
  <c r="H6" i="66" s="1"/>
  <c r="F8" i="66"/>
  <c r="F13" i="66" s="1"/>
  <c r="N38" i="40"/>
  <c r="C34" i="10"/>
  <c r="C33" i="10"/>
  <c r="C32" i="10"/>
  <c r="C31" i="10"/>
  <c r="C30" i="10"/>
  <c r="C29" i="10"/>
  <c r="C28" i="10"/>
  <c r="C27" i="10"/>
  <c r="C26" i="10"/>
  <c r="C25" i="10"/>
  <c r="C24" i="10"/>
  <c r="C23" i="10"/>
  <c r="C22" i="10"/>
  <c r="C21" i="10"/>
  <c r="C20" i="10"/>
  <c r="C19" i="10"/>
  <c r="C35" i="9"/>
  <c r="C34" i="9"/>
  <c r="C33" i="9"/>
  <c r="C32" i="9"/>
  <c r="C31" i="9"/>
  <c r="C30" i="9"/>
  <c r="C29" i="9"/>
  <c r="C28" i="9"/>
  <c r="C27" i="9"/>
  <c r="C26" i="9"/>
  <c r="C25" i="9"/>
  <c r="C24" i="9"/>
  <c r="C23" i="9"/>
  <c r="C22" i="9"/>
  <c r="C21" i="9"/>
  <c r="C20" i="9"/>
  <c r="H7" i="66" l="1"/>
  <c r="H8" i="66" s="1"/>
  <c r="H13" i="66" s="1"/>
  <c r="H15" i="66" s="1"/>
  <c r="C35" i="10"/>
  <c r="C36" i="9"/>
  <c r="AC20" i="42"/>
  <c r="H19" i="66" l="1"/>
  <c r="H20" i="66" s="1"/>
  <c r="H21" i="66" s="1"/>
  <c r="AB20" i="42"/>
  <c r="AA13" i="42"/>
  <c r="AA20" i="42" s="1"/>
  <c r="Z20" i="42"/>
  <c r="Y20" i="42"/>
  <c r="L16" i="42"/>
  <c r="L17" i="42"/>
  <c r="H18" i="64"/>
  <c r="G18" i="64"/>
  <c r="F18" i="64"/>
  <c r="E18" i="64"/>
  <c r="D18" i="64"/>
  <c r="C18" i="64"/>
  <c r="L19" i="42"/>
  <c r="L18" i="42"/>
  <c r="L15" i="42"/>
  <c r="L14" i="42"/>
  <c r="L13" i="42"/>
  <c r="L12" i="42"/>
  <c r="L11" i="42"/>
  <c r="L10" i="42"/>
  <c r="L9" i="42"/>
  <c r="L8" i="42"/>
  <c r="L7" i="42"/>
  <c r="L6" i="42"/>
  <c r="L5" i="42"/>
  <c r="L4" i="42"/>
  <c r="B4" i="39"/>
  <c r="F4" i="39" s="1"/>
  <c r="B3" i="39"/>
  <c r="E3" i="39" s="1"/>
  <c r="B2" i="39"/>
  <c r="D2" i="39" s="1"/>
  <c r="B4" i="50"/>
  <c r="F4" i="50" s="1"/>
  <c r="B3" i="50"/>
  <c r="E3" i="50" s="1"/>
  <c r="B2" i="50"/>
  <c r="D2" i="50" s="1"/>
  <c r="D33" i="50"/>
  <c r="E33" i="50" s="1"/>
  <c r="F33" i="50" s="1"/>
  <c r="J18" i="5"/>
  <c r="J17" i="5"/>
  <c r="J16" i="5"/>
  <c r="J15" i="5"/>
  <c r="J14" i="5"/>
  <c r="J13" i="5"/>
  <c r="J12" i="5"/>
  <c r="J11" i="5"/>
  <c r="J10" i="5"/>
  <c r="J9" i="5"/>
  <c r="J8" i="5"/>
  <c r="J7" i="5"/>
  <c r="J6" i="5"/>
  <c r="J5" i="5"/>
  <c r="J4" i="5"/>
  <c r="J3" i="5"/>
  <c r="P3" i="21"/>
  <c r="L3" i="21"/>
  <c r="L53" i="21"/>
  <c r="K53" i="21"/>
  <c r="E3" i="12"/>
  <c r="E3" i="11"/>
  <c r="E3" i="9"/>
  <c r="E6" i="9" s="1"/>
  <c r="M47" i="40"/>
  <c r="K36" i="40"/>
  <c r="K35" i="40"/>
  <c r="L47" i="40"/>
  <c r="L41" i="40"/>
  <c r="M41" i="40"/>
  <c r="L42" i="40"/>
  <c r="M42" i="40"/>
  <c r="L43" i="40"/>
  <c r="M43" i="40"/>
  <c r="J16" i="40"/>
  <c r="L15" i="40"/>
  <c r="L16" i="40" s="1"/>
  <c r="L17" i="40" s="1"/>
  <c r="L18" i="40" s="1"/>
  <c r="K15" i="40"/>
  <c r="K16" i="40" s="1"/>
  <c r="K41" i="21"/>
  <c r="K35" i="21"/>
  <c r="O35" i="21" s="1"/>
  <c r="M51" i="21"/>
  <c r="I13" i="40"/>
  <c r="I15" i="40"/>
  <c r="I16" i="40" s="1"/>
  <c r="G16" i="56"/>
  <c r="H16" i="56" s="1"/>
  <c r="I16" i="56" s="1"/>
  <c r="F15" i="56"/>
  <c r="F17" i="56" s="1"/>
  <c r="E14" i="56"/>
  <c r="E17" i="56" s="1"/>
  <c r="G5" i="56"/>
  <c r="G8" i="56" s="1"/>
  <c r="F4" i="56"/>
  <c r="E3" i="56"/>
  <c r="E8" i="56" s="1"/>
  <c r="P33" i="16"/>
  <c r="P34" i="16"/>
  <c r="O32" i="16"/>
  <c r="Q32" i="16"/>
  <c r="R32" i="16"/>
  <c r="N31" i="16"/>
  <c r="N34" i="16"/>
  <c r="P24" i="16"/>
  <c r="O23" i="16"/>
  <c r="N22" i="16"/>
  <c r="Q31" i="16"/>
  <c r="O34" i="16"/>
  <c r="Q24" i="16"/>
  <c r="P25" i="16"/>
  <c r="Q23" i="16"/>
  <c r="O25" i="16"/>
  <c r="Q22" i="16"/>
  <c r="N25" i="16"/>
  <c r="R31" i="16"/>
  <c r="Q33" i="16"/>
  <c r="R33" i="16"/>
  <c r="Q34" i="16"/>
  <c r="R35" i="16"/>
  <c r="O26" i="16"/>
  <c r="O27" i="16"/>
  <c r="O35" i="16"/>
  <c r="N26" i="16"/>
  <c r="P26" i="16"/>
  <c r="P27" i="16"/>
  <c r="P35" i="16"/>
  <c r="Q25" i="16"/>
  <c r="Q26" i="16"/>
  <c r="Q27" i="16"/>
  <c r="Q35" i="16"/>
  <c r="Q37" i="16"/>
  <c r="N27" i="16"/>
  <c r="N35" i="16"/>
  <c r="M46" i="40"/>
  <c r="L46" i="40"/>
  <c r="F32" i="40"/>
  <c r="E32" i="40"/>
  <c r="D32" i="40"/>
  <c r="C32" i="40"/>
  <c r="G12" i="40"/>
  <c r="G32" i="40" s="1"/>
  <c r="M11" i="40"/>
  <c r="M10" i="40"/>
  <c r="P5" i="16"/>
  <c r="Q5" i="16"/>
  <c r="O4" i="16"/>
  <c r="N15" i="16"/>
  <c r="P14" i="16"/>
  <c r="P15" i="16"/>
  <c r="O13" i="16"/>
  <c r="Q13" i="16"/>
  <c r="R13" i="16"/>
  <c r="N12" i="16"/>
  <c r="Q12" i="16"/>
  <c r="R12" i="16"/>
  <c r="N3" i="16"/>
  <c r="O15" i="16"/>
  <c r="Q3" i="16"/>
  <c r="N6" i="16"/>
  <c r="O6" i="16"/>
  <c r="Q4" i="16"/>
  <c r="P6" i="16"/>
  <c r="Q14" i="16"/>
  <c r="R14" i="16"/>
  <c r="R16" i="16"/>
  <c r="Q15" i="16"/>
  <c r="P7" i="16"/>
  <c r="P8" i="16"/>
  <c r="P16" i="16"/>
  <c r="N7" i="16"/>
  <c r="N8" i="16"/>
  <c r="N16" i="16"/>
  <c r="O7" i="16"/>
  <c r="O8" i="16"/>
  <c r="O16" i="16"/>
  <c r="Q6" i="16"/>
  <c r="Q7" i="16"/>
  <c r="Q8" i="16"/>
  <c r="Q16" i="16"/>
  <c r="Q18" i="16"/>
  <c r="H14" i="31"/>
  <c r="K34" i="40"/>
  <c r="K33" i="40"/>
  <c r="K30" i="40"/>
  <c r="B30" i="40" s="1"/>
  <c r="K31" i="40"/>
  <c r="B31" i="40" s="1"/>
  <c r="J31" i="40"/>
  <c r="I31" i="40"/>
  <c r="G31" i="40"/>
  <c r="F31" i="40"/>
  <c r="E31" i="40"/>
  <c r="D31" i="40"/>
  <c r="C31" i="40"/>
  <c r="M45" i="40"/>
  <c r="L45" i="40"/>
  <c r="B29" i="5"/>
  <c r="B25" i="5"/>
  <c r="B24" i="5"/>
  <c r="P4" i="42"/>
  <c r="P20" i="42" s="1"/>
  <c r="Q51" i="21"/>
  <c r="B3" i="5" s="1"/>
  <c r="J51" i="21"/>
  <c r="K51" i="21" s="1"/>
  <c r="I51" i="21"/>
  <c r="H51" i="21"/>
  <c r="G51" i="21"/>
  <c r="B23" i="5"/>
  <c r="I2" i="45"/>
  <c r="O19" i="42"/>
  <c r="O18" i="42"/>
  <c r="O17" i="42"/>
  <c r="O16" i="42"/>
  <c r="O15" i="42"/>
  <c r="O14" i="42"/>
  <c r="O13" i="42"/>
  <c r="O12" i="42"/>
  <c r="O11" i="42"/>
  <c r="O10" i="42"/>
  <c r="O9" i="42"/>
  <c r="O8" i="42"/>
  <c r="O7" i="42"/>
  <c r="O6" i="42"/>
  <c r="O5" i="42"/>
  <c r="O4" i="42"/>
  <c r="H6" i="31"/>
  <c r="G4" i="31"/>
  <c r="F3" i="31"/>
  <c r="E2" i="31"/>
  <c r="AD20" i="42"/>
  <c r="G17" i="50"/>
  <c r="F10" i="50"/>
  <c r="G10" i="50" s="1"/>
  <c r="E9" i="50"/>
  <c r="G9" i="50" s="1"/>
  <c r="D8" i="50"/>
  <c r="G8" i="50" s="1"/>
  <c r="K18" i="21"/>
  <c r="E11" i="50"/>
  <c r="K32" i="40"/>
  <c r="B32" i="40" s="1"/>
  <c r="G13" i="40"/>
  <c r="G33" i="40" s="1"/>
  <c r="I32" i="40"/>
  <c r="J32" i="40"/>
  <c r="F4" i="19"/>
  <c r="E33" i="40"/>
  <c r="F33" i="40"/>
  <c r="J33" i="40"/>
  <c r="I34" i="40"/>
  <c r="F4" i="10"/>
  <c r="D33" i="40"/>
  <c r="C33" i="40"/>
  <c r="C35" i="40"/>
  <c r="I33" i="40"/>
  <c r="F4" i="7"/>
  <c r="F6" i="7" s="1"/>
  <c r="F7" i="7" s="1"/>
  <c r="F8" i="7" s="1"/>
  <c r="B33" i="40"/>
  <c r="M29" i="21"/>
  <c r="M21" i="21"/>
  <c r="E57" i="21"/>
  <c r="Q21" i="21"/>
  <c r="B15" i="5" s="1"/>
  <c r="C19" i="19"/>
  <c r="B23" i="43"/>
  <c r="I36" i="40"/>
  <c r="I48" i="40" s="1"/>
  <c r="I35" i="40"/>
  <c r="E34" i="40"/>
  <c r="F34" i="40"/>
  <c r="I46" i="40"/>
  <c r="J34" i="40"/>
  <c r="B34" i="40"/>
  <c r="C34" i="40"/>
  <c r="D34" i="40"/>
  <c r="K53" i="28"/>
  <c r="J53" i="28"/>
  <c r="I53" i="28"/>
  <c r="H53" i="28"/>
  <c r="G53" i="28"/>
  <c r="K52" i="28"/>
  <c r="J52" i="28"/>
  <c r="I52" i="28"/>
  <c r="Q52" i="28" s="1"/>
  <c r="H52" i="28"/>
  <c r="G52" i="28"/>
  <c r="F53" i="28"/>
  <c r="F52" i="28"/>
  <c r="K51" i="28"/>
  <c r="J51" i="28"/>
  <c r="I51" i="28"/>
  <c r="H51" i="28"/>
  <c r="Q51" i="28" s="1"/>
  <c r="G51" i="28"/>
  <c r="K50" i="28"/>
  <c r="J50" i="28"/>
  <c r="I50" i="28"/>
  <c r="Q50" i="28" s="1"/>
  <c r="H50" i="28"/>
  <c r="G50" i="28"/>
  <c r="K49" i="28"/>
  <c r="J49" i="28"/>
  <c r="L49" i="28" s="1"/>
  <c r="I49" i="28"/>
  <c r="H49" i="28"/>
  <c r="G49" i="28"/>
  <c r="K48" i="28"/>
  <c r="J48" i="28"/>
  <c r="I48" i="28"/>
  <c r="H48" i="28"/>
  <c r="G48" i="28"/>
  <c r="F51" i="28"/>
  <c r="F50" i="28"/>
  <c r="F49" i="28"/>
  <c r="F48" i="28"/>
  <c r="K47" i="28"/>
  <c r="J47" i="28"/>
  <c r="I47" i="28"/>
  <c r="M47" i="28" s="1"/>
  <c r="H47" i="28"/>
  <c r="G47" i="28"/>
  <c r="K46" i="28"/>
  <c r="J46" i="28"/>
  <c r="I46" i="28"/>
  <c r="M46" i="28" s="1"/>
  <c r="H46" i="28"/>
  <c r="G46" i="28"/>
  <c r="F47" i="28"/>
  <c r="F46" i="28"/>
  <c r="K43" i="28"/>
  <c r="J43" i="28"/>
  <c r="I43" i="28"/>
  <c r="I44" i="28" s="1"/>
  <c r="H43" i="28"/>
  <c r="H44" i="28" s="1"/>
  <c r="G43" i="28"/>
  <c r="F43" i="28"/>
  <c r="F44" i="28" s="1"/>
  <c r="K40" i="28"/>
  <c r="J40" i="28"/>
  <c r="J41" i="28" s="1"/>
  <c r="I40" i="28"/>
  <c r="H40" i="28"/>
  <c r="G40" i="28"/>
  <c r="K39" i="28"/>
  <c r="J39" i="28"/>
  <c r="I39" i="28"/>
  <c r="H39" i="28"/>
  <c r="H41" i="28" s="1"/>
  <c r="G39" i="28"/>
  <c r="F40" i="28"/>
  <c r="F41" i="28" s="1"/>
  <c r="F39" i="28"/>
  <c r="K36" i="28"/>
  <c r="J36" i="28"/>
  <c r="I36" i="28"/>
  <c r="H36" i="28"/>
  <c r="G36" i="28"/>
  <c r="K35" i="28"/>
  <c r="Q35" i="28" s="1"/>
  <c r="J35" i="28"/>
  <c r="I35" i="28"/>
  <c r="H35" i="28"/>
  <c r="G35" i="28"/>
  <c r="K34" i="28"/>
  <c r="J34" i="28"/>
  <c r="I34" i="28"/>
  <c r="H34" i="28"/>
  <c r="L34" i="28" s="1"/>
  <c r="G34" i="28"/>
  <c r="K33" i="28"/>
  <c r="J33" i="28"/>
  <c r="I33" i="28"/>
  <c r="M33" i="28" s="1"/>
  <c r="H33" i="28"/>
  <c r="G33" i="28"/>
  <c r="K32" i="28"/>
  <c r="J32" i="28"/>
  <c r="Q32" i="28" s="1"/>
  <c r="I32" i="28"/>
  <c r="H32" i="28"/>
  <c r="G32" i="28"/>
  <c r="F36" i="28"/>
  <c r="F35" i="28"/>
  <c r="F34" i="28"/>
  <c r="F33" i="28"/>
  <c r="F32" i="28"/>
  <c r="K31" i="28"/>
  <c r="J31" i="28"/>
  <c r="I31" i="28"/>
  <c r="M31" i="28" s="1"/>
  <c r="H31" i="28"/>
  <c r="G31" i="28"/>
  <c r="K30" i="28"/>
  <c r="J30" i="28"/>
  <c r="I30" i="28"/>
  <c r="Q30" i="28" s="1"/>
  <c r="H30" i="28"/>
  <c r="G30" i="28"/>
  <c r="F31" i="28"/>
  <c r="F30" i="28"/>
  <c r="K29" i="28"/>
  <c r="J29" i="28"/>
  <c r="I29" i="28"/>
  <c r="H29" i="28"/>
  <c r="G29" i="28"/>
  <c r="K28" i="28"/>
  <c r="J28" i="28"/>
  <c r="I28" i="28"/>
  <c r="H28" i="28"/>
  <c r="G28" i="28"/>
  <c r="K27" i="28"/>
  <c r="J27" i="28"/>
  <c r="Q27" i="28" s="1"/>
  <c r="I27" i="28"/>
  <c r="H27" i="28"/>
  <c r="G27" i="28"/>
  <c r="F29" i="28"/>
  <c r="F28" i="28"/>
  <c r="F27" i="28"/>
  <c r="K24" i="28"/>
  <c r="J24" i="28"/>
  <c r="Q24" i="28" s="1"/>
  <c r="I24" i="28"/>
  <c r="H24" i="28"/>
  <c r="G24" i="28"/>
  <c r="K23" i="28"/>
  <c r="J23" i="28"/>
  <c r="I23" i="28"/>
  <c r="H23" i="28"/>
  <c r="H25" i="28" s="1"/>
  <c r="G23" i="28"/>
  <c r="F24" i="28"/>
  <c r="F23" i="28"/>
  <c r="K20" i="28"/>
  <c r="K21" i="28" s="1"/>
  <c r="J20" i="28"/>
  <c r="I20" i="28"/>
  <c r="H20" i="28"/>
  <c r="G20" i="28"/>
  <c r="G21" i="28" s="1"/>
  <c r="F20" i="28"/>
  <c r="F21" i="28" s="1"/>
  <c r="K17" i="28"/>
  <c r="J17" i="28"/>
  <c r="I17" i="28"/>
  <c r="H17" i="28"/>
  <c r="G17" i="28"/>
  <c r="K16" i="28"/>
  <c r="J16" i="28"/>
  <c r="I16" i="28"/>
  <c r="I18" i="28" s="1"/>
  <c r="H16" i="28"/>
  <c r="G16" i="28"/>
  <c r="K15" i="28"/>
  <c r="J15" i="28"/>
  <c r="Q15" i="28" s="1"/>
  <c r="I15" i="28"/>
  <c r="H15" i="28"/>
  <c r="G15" i="28"/>
  <c r="G18" i="28" s="1"/>
  <c r="F17" i="28"/>
  <c r="F18" i="28" s="1"/>
  <c r="F16" i="28"/>
  <c r="F15" i="28"/>
  <c r="K12" i="28"/>
  <c r="J12" i="28"/>
  <c r="M12" i="28" s="1"/>
  <c r="I12" i="28"/>
  <c r="H12" i="28"/>
  <c r="G12" i="28"/>
  <c r="K11" i="28"/>
  <c r="M11" i="28" s="1"/>
  <c r="J11" i="28"/>
  <c r="I11" i="28"/>
  <c r="H11" i="28"/>
  <c r="G11" i="28"/>
  <c r="K10" i="28"/>
  <c r="J10" i="28"/>
  <c r="I10" i="28"/>
  <c r="H10" i="28"/>
  <c r="L10" i="28" s="1"/>
  <c r="G10" i="28"/>
  <c r="K9" i="28"/>
  <c r="J9" i="28"/>
  <c r="I9" i="28"/>
  <c r="Q9" i="28" s="1"/>
  <c r="H9" i="28"/>
  <c r="G9" i="28"/>
  <c r="K8" i="28"/>
  <c r="J8" i="28"/>
  <c r="M8" i="28" s="1"/>
  <c r="I8" i="28"/>
  <c r="H8" i="28"/>
  <c r="G8" i="28"/>
  <c r="F12" i="28"/>
  <c r="F11" i="28"/>
  <c r="F10" i="28"/>
  <c r="F9" i="28"/>
  <c r="F8" i="28"/>
  <c r="K5" i="28"/>
  <c r="J5" i="28"/>
  <c r="I5" i="28"/>
  <c r="H5" i="28"/>
  <c r="G5" i="28"/>
  <c r="F5" i="28"/>
  <c r="K4" i="28"/>
  <c r="J4" i="28"/>
  <c r="M4" i="28" s="1"/>
  <c r="I4" i="28"/>
  <c r="H4" i="28"/>
  <c r="G4" i="28"/>
  <c r="F4" i="28"/>
  <c r="K3" i="28"/>
  <c r="J3" i="28"/>
  <c r="I3" i="28"/>
  <c r="H3" i="28"/>
  <c r="G3" i="28"/>
  <c r="F3" i="28"/>
  <c r="K2" i="28"/>
  <c r="J2" i="28"/>
  <c r="I2" i="28"/>
  <c r="H2" i="28"/>
  <c r="G2" i="28"/>
  <c r="F2" i="28"/>
  <c r="F35" i="40"/>
  <c r="F4" i="12"/>
  <c r="F6" i="12" s="1"/>
  <c r="F36" i="40"/>
  <c r="F48" i="40" s="1"/>
  <c r="K44" i="21"/>
  <c r="O44" i="21" s="1"/>
  <c r="E38" i="21"/>
  <c r="J33" i="21"/>
  <c r="I33" i="21"/>
  <c r="H33" i="21"/>
  <c r="G33" i="21"/>
  <c r="F33" i="21"/>
  <c r="K33" i="21" s="1"/>
  <c r="E33" i="21"/>
  <c r="K28" i="21"/>
  <c r="O28" i="21" s="1"/>
  <c r="O29" i="21" s="1"/>
  <c r="K27" i="21"/>
  <c r="E29" i="21"/>
  <c r="J21" i="21"/>
  <c r="I21" i="21"/>
  <c r="H21" i="21"/>
  <c r="G21" i="21"/>
  <c r="F21" i="21"/>
  <c r="E21" i="21"/>
  <c r="K21" i="21" s="1"/>
  <c r="K10" i="21"/>
  <c r="K7" i="21"/>
  <c r="E8" i="21"/>
  <c r="K61" i="21"/>
  <c r="K59" i="21"/>
  <c r="K56" i="21"/>
  <c r="O56" i="21" s="1"/>
  <c r="K55" i="21"/>
  <c r="K54" i="21"/>
  <c r="O54" i="21" s="1"/>
  <c r="K45" i="21"/>
  <c r="O45" i="21" s="1"/>
  <c r="K40" i="21"/>
  <c r="K37" i="21"/>
  <c r="K36" i="21"/>
  <c r="K50" i="21"/>
  <c r="K49" i="21"/>
  <c r="K48" i="21"/>
  <c r="K47" i="21"/>
  <c r="K46" i="21"/>
  <c r="O46" i="21" s="1"/>
  <c r="K32" i="21"/>
  <c r="K31" i="21"/>
  <c r="K25" i="21"/>
  <c r="K23" i="21"/>
  <c r="K20" i="21"/>
  <c r="O20" i="21" s="1"/>
  <c r="O21" i="21" s="1"/>
  <c r="K19" i="21"/>
  <c r="K16" i="21"/>
  <c r="K14" i="21"/>
  <c r="K12" i="21"/>
  <c r="K6" i="21"/>
  <c r="K5" i="21"/>
  <c r="K4" i="21"/>
  <c r="K3" i="21"/>
  <c r="O3" i="21" s="1"/>
  <c r="K28" i="40"/>
  <c r="B28" i="40" s="1"/>
  <c r="C13" i="13"/>
  <c r="C19" i="13" s="1"/>
  <c r="C13" i="11"/>
  <c r="C19" i="11" s="1"/>
  <c r="C18" i="7"/>
  <c r="C24" i="7" s="1"/>
  <c r="C18" i="45"/>
  <c r="G18" i="45"/>
  <c r="F18" i="45"/>
  <c r="I5" i="45"/>
  <c r="K7" i="42"/>
  <c r="I9" i="45"/>
  <c r="K11" i="42" s="1"/>
  <c r="I12" i="45"/>
  <c r="K14" i="42" s="1"/>
  <c r="I16" i="45"/>
  <c r="K18" i="42"/>
  <c r="E18" i="45"/>
  <c r="I3" i="45"/>
  <c r="K5" i="42" s="1"/>
  <c r="I6" i="45"/>
  <c r="K8" i="42" s="1"/>
  <c r="I7" i="45"/>
  <c r="K9" i="42" s="1"/>
  <c r="I10" i="45"/>
  <c r="K12" i="42" s="1"/>
  <c r="I11" i="45"/>
  <c r="K13" i="42" s="1"/>
  <c r="I13" i="45"/>
  <c r="K15" i="42" s="1"/>
  <c r="I14" i="45"/>
  <c r="K16" i="42" s="1"/>
  <c r="I17" i="45"/>
  <c r="K19" i="42" s="1"/>
  <c r="I4" i="45"/>
  <c r="K6" i="42" s="1"/>
  <c r="H18" i="45"/>
  <c r="I8" i="45"/>
  <c r="K10" i="42" s="1"/>
  <c r="I15" i="45"/>
  <c r="K17" i="42" s="1"/>
  <c r="D18" i="45"/>
  <c r="K4" i="42"/>
  <c r="E3" i="43"/>
  <c r="G3" i="43" s="1"/>
  <c r="G5" i="43" s="1"/>
  <c r="G7" i="43" s="1"/>
  <c r="G12" i="43" s="1"/>
  <c r="G14" i="43" s="1"/>
  <c r="G18" i="43" s="1"/>
  <c r="F10" i="43"/>
  <c r="G10" i="43"/>
  <c r="E9" i="43"/>
  <c r="G9" i="43"/>
  <c r="D8" i="43"/>
  <c r="G8" i="43"/>
  <c r="F4" i="43"/>
  <c r="F5" i="43"/>
  <c r="F6" i="43"/>
  <c r="D11" i="43"/>
  <c r="G4" i="43"/>
  <c r="E11" i="43"/>
  <c r="B35" i="43"/>
  <c r="B32" i="43"/>
  <c r="B28" i="43"/>
  <c r="B24" i="43"/>
  <c r="B38" i="43"/>
  <c r="B34" i="43"/>
  <c r="B31" i="43"/>
  <c r="B27" i="43"/>
  <c r="G17" i="43"/>
  <c r="B37" i="43"/>
  <c r="B33" i="43"/>
  <c r="B30" i="43"/>
  <c r="B26" i="43"/>
  <c r="B36" i="43"/>
  <c r="F7" i="43"/>
  <c r="F12" i="43"/>
  <c r="B25" i="43"/>
  <c r="B29" i="43"/>
  <c r="G2" i="43"/>
  <c r="D5" i="43"/>
  <c r="G11" i="43"/>
  <c r="F11" i="43"/>
  <c r="AF20" i="42"/>
  <c r="AE20" i="42"/>
  <c r="E6" i="43"/>
  <c r="E7" i="43"/>
  <c r="E12" i="43"/>
  <c r="B39" i="43"/>
  <c r="D6" i="43"/>
  <c r="G6" i="43"/>
  <c r="D7" i="43"/>
  <c r="D12" i="43"/>
  <c r="K3" i="40"/>
  <c r="K4" i="40"/>
  <c r="K2" i="40"/>
  <c r="M44" i="40"/>
  <c r="L44" i="40"/>
  <c r="J30" i="40"/>
  <c r="I30" i="40"/>
  <c r="G30" i="40"/>
  <c r="F30" i="40"/>
  <c r="E30" i="40"/>
  <c r="D30" i="40"/>
  <c r="C30" i="40"/>
  <c r="K29" i="40"/>
  <c r="J29" i="40"/>
  <c r="I29" i="40"/>
  <c r="G29" i="40"/>
  <c r="F29" i="40"/>
  <c r="E29" i="40"/>
  <c r="D29" i="40"/>
  <c r="C29" i="40"/>
  <c r="J28" i="40"/>
  <c r="I28" i="40"/>
  <c r="G28" i="40"/>
  <c r="F28" i="40"/>
  <c r="E28" i="40"/>
  <c r="D28" i="40"/>
  <c r="C28" i="40"/>
  <c r="K27" i="40"/>
  <c r="B27" i="40" s="1"/>
  <c r="J27" i="40"/>
  <c r="I27" i="40"/>
  <c r="G27" i="40"/>
  <c r="F27" i="40"/>
  <c r="E27" i="40"/>
  <c r="D27" i="40"/>
  <c r="C27" i="40"/>
  <c r="K26" i="40"/>
  <c r="J26" i="40"/>
  <c r="I26" i="40"/>
  <c r="G26" i="40"/>
  <c r="F26" i="40"/>
  <c r="E26" i="40"/>
  <c r="D26" i="40"/>
  <c r="C26" i="40"/>
  <c r="K25" i="40"/>
  <c r="B25" i="40" s="1"/>
  <c r="J25" i="40"/>
  <c r="G25" i="40"/>
  <c r="F25" i="40"/>
  <c r="E25" i="40"/>
  <c r="D25" i="40"/>
  <c r="C25" i="40"/>
  <c r="K24" i="40"/>
  <c r="J24" i="40"/>
  <c r="I24" i="40"/>
  <c r="G24" i="40"/>
  <c r="F24" i="40"/>
  <c r="E24" i="40"/>
  <c r="D24" i="40"/>
  <c r="C24" i="40"/>
  <c r="K23" i="40"/>
  <c r="B23" i="40" s="1"/>
  <c r="J23" i="40"/>
  <c r="I23" i="40"/>
  <c r="G23" i="40"/>
  <c r="F23" i="40"/>
  <c r="E23" i="40"/>
  <c r="D23" i="40"/>
  <c r="C23" i="40"/>
  <c r="K22" i="40"/>
  <c r="J22" i="40"/>
  <c r="I22" i="40"/>
  <c r="G22" i="40"/>
  <c r="F22" i="40"/>
  <c r="E22" i="40"/>
  <c r="D22" i="40"/>
  <c r="C22" i="40"/>
  <c r="M19" i="40"/>
  <c r="L9" i="40"/>
  <c r="K9" i="40"/>
  <c r="J9" i="40"/>
  <c r="I9" i="40"/>
  <c r="M9" i="40" s="1"/>
  <c r="L8" i="40"/>
  <c r="K8" i="40"/>
  <c r="J8" i="40"/>
  <c r="I8" i="40"/>
  <c r="M8" i="40" s="1"/>
  <c r="M7" i="40"/>
  <c r="K7" i="40"/>
  <c r="M6" i="40"/>
  <c r="K6" i="40"/>
  <c r="K5" i="40"/>
  <c r="H5" i="40"/>
  <c r="M5" i="40" s="1"/>
  <c r="M4" i="40"/>
  <c r="M3" i="40"/>
  <c r="M2" i="40"/>
  <c r="B26" i="40"/>
  <c r="E39" i="43"/>
  <c r="F23" i="43" s="1"/>
  <c r="L23" i="21"/>
  <c r="D21" i="32"/>
  <c r="W7" i="42" s="1"/>
  <c r="D22" i="32"/>
  <c r="W8" i="42" s="1"/>
  <c r="G12" i="39"/>
  <c r="H7" i="31"/>
  <c r="D20" i="32"/>
  <c r="W6" i="42" s="1"/>
  <c r="D19" i="32"/>
  <c r="W5" i="42" s="1"/>
  <c r="D25" i="32"/>
  <c r="W11" i="42" s="1"/>
  <c r="D24" i="32"/>
  <c r="W10" i="42" s="1"/>
  <c r="D23" i="32"/>
  <c r="W9" i="42" s="1"/>
  <c r="D28" i="32"/>
  <c r="W14" i="42" s="1"/>
  <c r="D32" i="32"/>
  <c r="W18" i="42"/>
  <c r="L6" i="21"/>
  <c r="R6" i="21" s="1"/>
  <c r="P6" i="21"/>
  <c r="L7" i="21"/>
  <c r="R7" i="21" s="1"/>
  <c r="P7" i="21"/>
  <c r="L4" i="21"/>
  <c r="L8" i="21" s="1"/>
  <c r="P4" i="21"/>
  <c r="L10" i="21"/>
  <c r="R10" i="21" s="1"/>
  <c r="P10" i="21"/>
  <c r="L12" i="21"/>
  <c r="R12" i="21" s="1"/>
  <c r="F4" i="5" s="1"/>
  <c r="P12" i="21"/>
  <c r="L14" i="21"/>
  <c r="R14" i="21" s="1"/>
  <c r="F12" i="5" s="1"/>
  <c r="P14" i="21"/>
  <c r="L16" i="21"/>
  <c r="R16" i="21" s="1"/>
  <c r="F18" i="5" s="1"/>
  <c r="P16" i="21"/>
  <c r="L18" i="21"/>
  <c r="L19" i="21"/>
  <c r="P19" i="21"/>
  <c r="L20" i="21"/>
  <c r="L21" i="21" s="1"/>
  <c r="P20" i="21"/>
  <c r="R23" i="21"/>
  <c r="F11" i="5"/>
  <c r="L25" i="21"/>
  <c r="R25" i="21" s="1"/>
  <c r="F8" i="5" s="1"/>
  <c r="P25" i="21"/>
  <c r="L27" i="21"/>
  <c r="L28" i="21"/>
  <c r="P28" i="21"/>
  <c r="F29" i="21"/>
  <c r="K29" i="21" s="1"/>
  <c r="G29" i="21"/>
  <c r="H29" i="21"/>
  <c r="H63" i="21" s="1"/>
  <c r="I29" i="21"/>
  <c r="J29" i="21"/>
  <c r="Q29" i="21"/>
  <c r="L31" i="21"/>
  <c r="P31" i="21"/>
  <c r="L32" i="21"/>
  <c r="O32" i="21" s="1"/>
  <c r="O33" i="21" s="1"/>
  <c r="P32" i="21"/>
  <c r="M33" i="21"/>
  <c r="M63" i="21" s="1"/>
  <c r="Q33" i="21"/>
  <c r="B28" i="5" s="1"/>
  <c r="L46" i="21"/>
  <c r="P46" i="21"/>
  <c r="L47" i="21"/>
  <c r="R47" i="21" s="1"/>
  <c r="P47" i="21"/>
  <c r="L48" i="21"/>
  <c r="O48" i="21" s="1"/>
  <c r="P48" i="21"/>
  <c r="L49" i="21"/>
  <c r="P49" i="21"/>
  <c r="L50" i="21"/>
  <c r="P50" i="21"/>
  <c r="L35" i="21"/>
  <c r="L38" i="21" s="1"/>
  <c r="P35" i="21"/>
  <c r="P38" i="21" s="1"/>
  <c r="L36" i="21"/>
  <c r="R36" i="21" s="1"/>
  <c r="P36" i="21"/>
  <c r="L37" i="21"/>
  <c r="O37" i="21" s="1"/>
  <c r="P37" i="21"/>
  <c r="F38" i="21"/>
  <c r="G38" i="21"/>
  <c r="H38" i="21"/>
  <c r="K38" i="21" s="1"/>
  <c r="I38" i="21"/>
  <c r="J38" i="21"/>
  <c r="M38" i="21"/>
  <c r="Q38" i="21"/>
  <c r="L40" i="21"/>
  <c r="L41" i="21"/>
  <c r="P41" i="21"/>
  <c r="E42" i="21"/>
  <c r="F42" i="21"/>
  <c r="K42" i="21" s="1"/>
  <c r="G42" i="21"/>
  <c r="H42" i="21"/>
  <c r="I42" i="21"/>
  <c r="J42" i="21"/>
  <c r="M42" i="21"/>
  <c r="Q42" i="21"/>
  <c r="L44" i="21"/>
  <c r="R44" i="21" s="1"/>
  <c r="L45" i="21"/>
  <c r="R45" i="21" s="1"/>
  <c r="P45" i="21"/>
  <c r="P51" i="21" s="1"/>
  <c r="O53" i="21"/>
  <c r="O57" i="21" s="1"/>
  <c r="P53" i="21"/>
  <c r="P57" i="21" s="1"/>
  <c r="L54" i="21"/>
  <c r="P54" i="21"/>
  <c r="L55" i="21"/>
  <c r="P55" i="21"/>
  <c r="L56" i="21"/>
  <c r="R56" i="21" s="1"/>
  <c r="P56" i="21"/>
  <c r="F57" i="21"/>
  <c r="K57" i="21" s="1"/>
  <c r="G57" i="21"/>
  <c r="H57" i="21"/>
  <c r="I57" i="21"/>
  <c r="J57" i="21"/>
  <c r="M57" i="21"/>
  <c r="Q57" i="21"/>
  <c r="B5" i="5" s="1"/>
  <c r="L59" i="21"/>
  <c r="P59" i="21"/>
  <c r="L61" i="21"/>
  <c r="P61" i="21"/>
  <c r="P44" i="21"/>
  <c r="N51" i="21"/>
  <c r="L51" i="21"/>
  <c r="O25" i="21"/>
  <c r="H8" i="5" s="1"/>
  <c r="R40" i="21"/>
  <c r="R27" i="21"/>
  <c r="P23" i="21"/>
  <c r="R19" i="21"/>
  <c r="R18" i="21"/>
  <c r="R21" i="21" s="1"/>
  <c r="F15" i="5" s="1"/>
  <c r="R37" i="21"/>
  <c r="R50" i="21"/>
  <c r="R49" i="21"/>
  <c r="O7" i="21"/>
  <c r="R46" i="21"/>
  <c r="R55" i="21"/>
  <c r="N42" i="21"/>
  <c r="R32" i="21"/>
  <c r="O31" i="21"/>
  <c r="N21" i="21"/>
  <c r="R41" i="21"/>
  <c r="R28" i="21"/>
  <c r="R20" i="21"/>
  <c r="O19" i="21"/>
  <c r="O6" i="21"/>
  <c r="L57" i="21"/>
  <c r="R59" i="21"/>
  <c r="F9" i="5"/>
  <c r="R61" i="21"/>
  <c r="F13" i="5" s="1"/>
  <c r="R54" i="21"/>
  <c r="R53" i="21"/>
  <c r="R48" i="21"/>
  <c r="R31" i="21"/>
  <c r="R33" i="21" s="1"/>
  <c r="F16" i="5" s="1"/>
  <c r="P18" i="21"/>
  <c r="P21" i="21" s="1"/>
  <c r="O59" i="21"/>
  <c r="D9" i="5" s="1"/>
  <c r="O12" i="21"/>
  <c r="O10" i="21"/>
  <c r="D6" i="5" s="1"/>
  <c r="O61" i="21"/>
  <c r="H13" i="5" s="1"/>
  <c r="O47" i="21"/>
  <c r="N33" i="21"/>
  <c r="O27" i="21"/>
  <c r="O23" i="21"/>
  <c r="H11" i="5" s="1"/>
  <c r="D24" i="5"/>
  <c r="L42" i="21"/>
  <c r="O40" i="21"/>
  <c r="O42" i="21" s="1"/>
  <c r="N57" i="21"/>
  <c r="L29" i="21"/>
  <c r="O16" i="21"/>
  <c r="D29" i="5" s="1"/>
  <c r="O55" i="21"/>
  <c r="O36" i="21"/>
  <c r="O50" i="21"/>
  <c r="O49" i="21"/>
  <c r="N29" i="21"/>
  <c r="P33" i="21"/>
  <c r="O18" i="21"/>
  <c r="O41" i="21"/>
  <c r="P40" i="21"/>
  <c r="P42" i="21"/>
  <c r="N38" i="21"/>
  <c r="P27" i="21"/>
  <c r="P29" i="21"/>
  <c r="R42" i="21"/>
  <c r="F10" i="5"/>
  <c r="R29" i="21"/>
  <c r="F17" i="5" s="1"/>
  <c r="E3" i="32"/>
  <c r="E5" i="32" s="1"/>
  <c r="F4" i="32"/>
  <c r="G4" i="32" s="1"/>
  <c r="D2" i="32"/>
  <c r="G2" i="32" s="1"/>
  <c r="G12" i="32"/>
  <c r="H2" i="31"/>
  <c r="H3" i="31"/>
  <c r="H4" i="31"/>
  <c r="B36" i="31"/>
  <c r="G8" i="31"/>
  <c r="H5" i="31"/>
  <c r="E8" i="31"/>
  <c r="H8" i="31"/>
  <c r="H11" i="31"/>
  <c r="E54" i="28"/>
  <c r="N54" i="28"/>
  <c r="E44" i="28"/>
  <c r="G44" i="28"/>
  <c r="J44" i="28"/>
  <c r="K44" i="28"/>
  <c r="N44" i="28"/>
  <c r="E41" i="28"/>
  <c r="N41" i="28"/>
  <c r="E37" i="28"/>
  <c r="N37" i="28"/>
  <c r="N21" i="28"/>
  <c r="E21" i="28"/>
  <c r="H21" i="28"/>
  <c r="I21" i="28"/>
  <c r="N6" i="28"/>
  <c r="E6" i="28"/>
  <c r="E25" i="28"/>
  <c r="N25" i="28"/>
  <c r="F25" i="28"/>
  <c r="E18" i="28"/>
  <c r="N18" i="28"/>
  <c r="E13" i="28"/>
  <c r="N13" i="28"/>
  <c r="H16" i="31"/>
  <c r="O54" i="28"/>
  <c r="O41" i="28"/>
  <c r="O44" i="28"/>
  <c r="O37" i="28"/>
  <c r="O21" i="28"/>
  <c r="O6" i="28"/>
  <c r="O18" i="28"/>
  <c r="O13" i="28"/>
  <c r="O25" i="28"/>
  <c r="H15" i="31"/>
  <c r="H17" i="31"/>
  <c r="B18" i="5"/>
  <c r="B13" i="5"/>
  <c r="B12" i="5"/>
  <c r="B11" i="5"/>
  <c r="B9" i="5"/>
  <c r="B8" i="5"/>
  <c r="B6" i="5"/>
  <c r="B4" i="5"/>
  <c r="C23" i="19"/>
  <c r="B10" i="5"/>
  <c r="B7" i="5"/>
  <c r="B16" i="5"/>
  <c r="B17" i="5"/>
  <c r="Q8" i="21"/>
  <c r="N8" i="21"/>
  <c r="N63" i="21" s="1"/>
  <c r="M8" i="21"/>
  <c r="J8" i="21"/>
  <c r="J63" i="21"/>
  <c r="I8" i="21"/>
  <c r="I63" i="21" s="1"/>
  <c r="H8" i="21"/>
  <c r="G8" i="21"/>
  <c r="G63" i="21"/>
  <c r="F8" i="21"/>
  <c r="F63" i="21"/>
  <c r="P5" i="21"/>
  <c r="L5" i="21"/>
  <c r="R5" i="21" s="1"/>
  <c r="R3" i="21"/>
  <c r="B26" i="5"/>
  <c r="H9" i="5"/>
  <c r="P8" i="21"/>
  <c r="H6" i="5"/>
  <c r="B14" i="5"/>
  <c r="O5" i="21"/>
  <c r="D11" i="5"/>
  <c r="D4" i="5"/>
  <c r="J19" i="5"/>
  <c r="K4" i="5"/>
  <c r="K8" i="5"/>
  <c r="K12" i="5"/>
  <c r="K15" i="5"/>
  <c r="K10" i="5"/>
  <c r="K17" i="5"/>
  <c r="K5" i="5"/>
  <c r="K9" i="5"/>
  <c r="K16" i="5"/>
  <c r="K6" i="5"/>
  <c r="K7" i="5"/>
  <c r="K11" i="5"/>
  <c r="K14" i="5"/>
  <c r="K18" i="5"/>
  <c r="K13" i="5"/>
  <c r="K3" i="5"/>
  <c r="D33" i="43"/>
  <c r="D37" i="43"/>
  <c r="D27" i="43"/>
  <c r="D30" i="43"/>
  <c r="D31" i="43"/>
  <c r="D23" i="43"/>
  <c r="D26" i="43"/>
  <c r="D35" i="43"/>
  <c r="D32" i="43"/>
  <c r="D36" i="43"/>
  <c r="D38" i="43"/>
  <c r="D29" i="43"/>
  <c r="D28" i="43"/>
  <c r="D34" i="43"/>
  <c r="D25" i="43"/>
  <c r="D24" i="43"/>
  <c r="K19" i="5"/>
  <c r="D39" i="43"/>
  <c r="C34" i="19"/>
  <c r="C33" i="19"/>
  <c r="C32" i="19"/>
  <c r="C31" i="19"/>
  <c r="C30" i="19"/>
  <c r="C29" i="19"/>
  <c r="C28" i="19"/>
  <c r="C27" i="19"/>
  <c r="C26" i="19"/>
  <c r="C25" i="19"/>
  <c r="C24" i="19"/>
  <c r="C22" i="19"/>
  <c r="C21" i="19"/>
  <c r="C20" i="19"/>
  <c r="H13" i="19"/>
  <c r="E3" i="19"/>
  <c r="H3" i="19" s="1"/>
  <c r="F14" i="16"/>
  <c r="G14" i="16"/>
  <c r="H14" i="16"/>
  <c r="E13" i="16"/>
  <c r="E15" i="16"/>
  <c r="D12" i="16"/>
  <c r="D15" i="16"/>
  <c r="F5" i="16"/>
  <c r="F6" i="16"/>
  <c r="E4" i="16"/>
  <c r="E6" i="16"/>
  <c r="D3" i="16"/>
  <c r="D6" i="16"/>
  <c r="C34" i="7"/>
  <c r="C30" i="7"/>
  <c r="C26" i="7"/>
  <c r="C31" i="7"/>
  <c r="C28" i="7"/>
  <c r="C37" i="7"/>
  <c r="C38" i="7"/>
  <c r="C29" i="7"/>
  <c r="C32" i="7"/>
  <c r="C36" i="7"/>
  <c r="C39" i="7"/>
  <c r="C33" i="7"/>
  <c r="C25" i="7"/>
  <c r="C27" i="7"/>
  <c r="C35" i="7"/>
  <c r="G12" i="14"/>
  <c r="F4" i="14"/>
  <c r="G4" i="14" s="1"/>
  <c r="E3" i="14"/>
  <c r="G3" i="14" s="1"/>
  <c r="D2" i="14"/>
  <c r="D5" i="14" s="1"/>
  <c r="H13" i="12"/>
  <c r="H13" i="10"/>
  <c r="E3" i="10"/>
  <c r="H3" i="10" s="1"/>
  <c r="H14" i="9"/>
  <c r="E3" i="7"/>
  <c r="H3" i="7" s="1"/>
  <c r="H18" i="7"/>
  <c r="G4" i="16"/>
  <c r="G5" i="16"/>
  <c r="G3" i="16"/>
  <c r="D7" i="16"/>
  <c r="D8" i="16"/>
  <c r="D16" i="16"/>
  <c r="E7" i="16"/>
  <c r="E8" i="16"/>
  <c r="E16" i="16"/>
  <c r="F7" i="16"/>
  <c r="F8" i="16"/>
  <c r="F16" i="16"/>
  <c r="G13" i="16"/>
  <c r="H13" i="16"/>
  <c r="F15" i="16"/>
  <c r="G12" i="16"/>
  <c r="H12" i="16"/>
  <c r="H16" i="16"/>
  <c r="G6" i="16"/>
  <c r="G15" i="16"/>
  <c r="G7" i="16"/>
  <c r="G8" i="16"/>
  <c r="G16" i="16"/>
  <c r="G18" i="16"/>
  <c r="G20" i="16"/>
  <c r="E36" i="31"/>
  <c r="H18" i="28" l="1"/>
  <c r="J25" i="28"/>
  <c r="I41" i="28"/>
  <c r="Q53" i="28"/>
  <c r="M5" i="28"/>
  <c r="M17" i="28"/>
  <c r="P17" i="28" s="1"/>
  <c r="M43" i="28"/>
  <c r="M44" i="28" s="1"/>
  <c r="M53" i="28"/>
  <c r="M49" i="28"/>
  <c r="P49" i="28" s="1"/>
  <c r="M35" i="28"/>
  <c r="Q49" i="28"/>
  <c r="Q4" i="28"/>
  <c r="M40" i="28"/>
  <c r="M27" i="28"/>
  <c r="Q2" i="28"/>
  <c r="M3" i="28"/>
  <c r="M10" i="28"/>
  <c r="P10" i="28" s="1"/>
  <c r="Q12" i="28"/>
  <c r="M16" i="28"/>
  <c r="M23" i="28"/>
  <c r="G37" i="28"/>
  <c r="Q29" i="28"/>
  <c r="M30" i="28"/>
  <c r="M34" i="28"/>
  <c r="P34" i="28" s="1"/>
  <c r="J54" i="28"/>
  <c r="M51" i="28"/>
  <c r="M52" i="28"/>
  <c r="M32" i="28"/>
  <c r="Q40" i="28"/>
  <c r="Q8" i="28"/>
  <c r="M24" i="28"/>
  <c r="L4" i="28"/>
  <c r="P4" i="28" s="1"/>
  <c r="L11" i="28"/>
  <c r="P11" i="28" s="1"/>
  <c r="J18" i="28"/>
  <c r="L17" i="28"/>
  <c r="K25" i="28"/>
  <c r="I37" i="28"/>
  <c r="L35" i="28"/>
  <c r="K41" i="28"/>
  <c r="K6" i="28"/>
  <c r="G6" i="28"/>
  <c r="Q11" i="28"/>
  <c r="K13" i="28"/>
  <c r="L24" i="28"/>
  <c r="L32" i="28"/>
  <c r="P32" i="28" s="1"/>
  <c r="L40" i="28"/>
  <c r="P40" i="28" s="1"/>
  <c r="D28" i="5"/>
  <c r="D16" i="5"/>
  <c r="H16" i="5"/>
  <c r="D10" i="5"/>
  <c r="H10" i="5"/>
  <c r="O38" i="21"/>
  <c r="R51" i="21"/>
  <c r="F3" i="5" s="1"/>
  <c r="D17" i="5"/>
  <c r="H17" i="5"/>
  <c r="O51" i="21"/>
  <c r="R57" i="21"/>
  <c r="F5" i="5" s="1"/>
  <c r="D5" i="5"/>
  <c r="H5" i="5"/>
  <c r="D27" i="5"/>
  <c r="H15" i="5"/>
  <c r="D15" i="5"/>
  <c r="D18" i="5"/>
  <c r="L47" i="28"/>
  <c r="P47" i="28" s="1"/>
  <c r="R4" i="21"/>
  <c r="R8" i="21" s="1"/>
  <c r="F14" i="5" s="1"/>
  <c r="M9" i="28"/>
  <c r="M13" i="28" s="1"/>
  <c r="I6" i="28"/>
  <c r="Q3" i="28"/>
  <c r="Q10" i="28"/>
  <c r="L15" i="28"/>
  <c r="Q28" i="28"/>
  <c r="K37" i="28"/>
  <c r="Q34" i="28"/>
  <c r="L39" i="28"/>
  <c r="H54" i="28"/>
  <c r="B27" i="5"/>
  <c r="K54" i="28"/>
  <c r="L33" i="21"/>
  <c r="G13" i="28"/>
  <c r="J13" i="28"/>
  <c r="K18" i="28"/>
  <c r="L27" i="28"/>
  <c r="J37" i="28"/>
  <c r="L31" i="28"/>
  <c r="P31" i="28" s="1"/>
  <c r="G54" i="28"/>
  <c r="L53" i="28"/>
  <c r="L20" i="28"/>
  <c r="L21" i="28" s="1"/>
  <c r="L30" i="28"/>
  <c r="Q36" i="28"/>
  <c r="H4" i="5"/>
  <c r="R35" i="21"/>
  <c r="R38" i="21" s="1"/>
  <c r="F7" i="5" s="1"/>
  <c r="H18" i="5"/>
  <c r="L48" i="28"/>
  <c r="L16" i="28"/>
  <c r="P16" i="28" s="1"/>
  <c r="I25" i="28"/>
  <c r="D13" i="5"/>
  <c r="D8" i="5"/>
  <c r="Q16" i="28"/>
  <c r="L28" i="28"/>
  <c r="P63" i="21"/>
  <c r="K8" i="21"/>
  <c r="K63" i="21" s="1"/>
  <c r="O4" i="21"/>
  <c r="F37" i="28"/>
  <c r="L36" i="28"/>
  <c r="Q63" i="21"/>
  <c r="L51" i="28"/>
  <c r="J21" i="28"/>
  <c r="M29" i="28"/>
  <c r="O8" i="21"/>
  <c r="D26" i="5" s="1"/>
  <c r="H37" i="28"/>
  <c r="L52" i="28"/>
  <c r="P52" i="28" s="1"/>
  <c r="Q47" i="28"/>
  <c r="O14" i="21"/>
  <c r="F13" i="28"/>
  <c r="E63" i="21"/>
  <c r="L5" i="28"/>
  <c r="J6" i="28"/>
  <c r="F6" i="28"/>
  <c r="H6" i="28"/>
  <c r="B30" i="5"/>
  <c r="C26" i="5" s="1"/>
  <c r="B19" i="5"/>
  <c r="C5" i="5" s="1"/>
  <c r="C25" i="43" s="1"/>
  <c r="F5" i="39"/>
  <c r="F6" i="39" s="1"/>
  <c r="F7" i="39" s="1"/>
  <c r="G4" i="39"/>
  <c r="F11" i="50"/>
  <c r="E5" i="50"/>
  <c r="E6" i="50" s="1"/>
  <c r="G3" i="50"/>
  <c r="D5" i="39"/>
  <c r="D6" i="39" s="1"/>
  <c r="G2" i="39"/>
  <c r="H14" i="56"/>
  <c r="I14" i="56" s="1"/>
  <c r="F6" i="5"/>
  <c r="F19" i="5"/>
  <c r="G18" i="5" s="1"/>
  <c r="C35" i="31" s="1"/>
  <c r="D35" i="31" s="1"/>
  <c r="S19" i="42" s="1"/>
  <c r="L63" i="21"/>
  <c r="L2" i="28"/>
  <c r="G13" i="5"/>
  <c r="C30" i="31" s="1"/>
  <c r="D30" i="31" s="1"/>
  <c r="S14" i="42" s="1"/>
  <c r="Q17" i="28"/>
  <c r="Q18" i="28" s="1"/>
  <c r="L8" i="28"/>
  <c r="H13" i="28"/>
  <c r="Q20" i="28"/>
  <c r="Q21" i="28" s="1"/>
  <c r="M39" i="28"/>
  <c r="M41" i="28" s="1"/>
  <c r="Q46" i="28"/>
  <c r="L50" i="28"/>
  <c r="L29" i="28"/>
  <c r="Q33" i="28"/>
  <c r="M36" i="28"/>
  <c r="G41" i="28"/>
  <c r="L3" i="28"/>
  <c r="P3" i="28" s="1"/>
  <c r="Q39" i="28"/>
  <c r="Q41" i="28" s="1"/>
  <c r="Q23" i="28"/>
  <c r="Q25" i="28" s="1"/>
  <c r="L33" i="28"/>
  <c r="P33" i="28" s="1"/>
  <c r="Q48" i="28"/>
  <c r="I13" i="28"/>
  <c r="M50" i="28"/>
  <c r="Q43" i="28"/>
  <c r="Q44" i="28" s="1"/>
  <c r="M28" i="28"/>
  <c r="L43" i="28"/>
  <c r="F54" i="28"/>
  <c r="M20" i="28"/>
  <c r="M21" i="28" s="1"/>
  <c r="I54" i="28"/>
  <c r="L9" i="28"/>
  <c r="L12" i="28"/>
  <c r="P12" i="28" s="1"/>
  <c r="Q5" i="28"/>
  <c r="G25" i="28"/>
  <c r="L46" i="28"/>
  <c r="Q31" i="28"/>
  <c r="M15" i="28"/>
  <c r="L23" i="28"/>
  <c r="M48" i="28"/>
  <c r="M2" i="28"/>
  <c r="H15" i="56"/>
  <c r="I15" i="56" s="1"/>
  <c r="C35" i="19"/>
  <c r="G2" i="50"/>
  <c r="D5" i="50"/>
  <c r="G11" i="50"/>
  <c r="G4" i="50"/>
  <c r="F5" i="50"/>
  <c r="G3" i="39"/>
  <c r="E5" i="39"/>
  <c r="G5" i="39" s="1"/>
  <c r="F5" i="32"/>
  <c r="F6" i="32" s="1"/>
  <c r="E7" i="50"/>
  <c r="E12" i="50" s="1"/>
  <c r="G17" i="56"/>
  <c r="G3" i="32"/>
  <c r="G5" i="32" s="1"/>
  <c r="D7" i="39"/>
  <c r="D11" i="50"/>
  <c r="H4" i="56"/>
  <c r="F8" i="56"/>
  <c r="J18" i="64"/>
  <c r="L20" i="42" s="1"/>
  <c r="C24" i="11"/>
  <c r="C24" i="13"/>
  <c r="C20" i="11"/>
  <c r="E6" i="12"/>
  <c r="E7" i="12" s="1"/>
  <c r="E8" i="12" s="1"/>
  <c r="H3" i="12"/>
  <c r="G5" i="19"/>
  <c r="G6" i="19" s="1"/>
  <c r="G7" i="19" s="1"/>
  <c r="G44" i="40"/>
  <c r="C22" i="13"/>
  <c r="C25" i="13"/>
  <c r="C33" i="11"/>
  <c r="C30" i="11"/>
  <c r="I44" i="40"/>
  <c r="G5" i="7"/>
  <c r="H5" i="7" s="1"/>
  <c r="M12" i="40"/>
  <c r="C28" i="11"/>
  <c r="C32" i="11"/>
  <c r="C27" i="11"/>
  <c r="G45" i="40"/>
  <c r="C29" i="11"/>
  <c r="E44" i="40"/>
  <c r="C23" i="11"/>
  <c r="C26" i="11"/>
  <c r="C21" i="11"/>
  <c r="C34" i="11"/>
  <c r="G5" i="12"/>
  <c r="H5" i="12" s="1"/>
  <c r="C25" i="11"/>
  <c r="H13" i="11"/>
  <c r="C22" i="11"/>
  <c r="C31" i="11"/>
  <c r="C11" i="7"/>
  <c r="G11" i="7" s="1"/>
  <c r="G12" i="7" s="1"/>
  <c r="J44" i="40"/>
  <c r="F45" i="40"/>
  <c r="D45" i="40"/>
  <c r="K45" i="40"/>
  <c r="J35" i="40"/>
  <c r="J42" i="40"/>
  <c r="H4" i="12"/>
  <c r="C20" i="13"/>
  <c r="C33" i="13"/>
  <c r="C29" i="13"/>
  <c r="C28" i="13"/>
  <c r="C32" i="13"/>
  <c r="I45" i="40"/>
  <c r="H13" i="13"/>
  <c r="C30" i="13"/>
  <c r="C34" i="13"/>
  <c r="C23" i="13"/>
  <c r="F41" i="40"/>
  <c r="C31" i="13"/>
  <c r="C26" i="13"/>
  <c r="G41" i="40"/>
  <c r="C42" i="40"/>
  <c r="F43" i="40"/>
  <c r="E6" i="7"/>
  <c r="E7" i="7" s="1"/>
  <c r="C27" i="13"/>
  <c r="C21" i="13"/>
  <c r="F44" i="40"/>
  <c r="G5" i="11"/>
  <c r="E36" i="40"/>
  <c r="E48" i="40" s="1"/>
  <c r="B35" i="40"/>
  <c r="E43" i="40"/>
  <c r="H27" i="40"/>
  <c r="N27" i="40" s="1"/>
  <c r="F4" i="11"/>
  <c r="H4" i="11" s="1"/>
  <c r="G43" i="40"/>
  <c r="E35" i="40"/>
  <c r="E6" i="11"/>
  <c r="E7" i="11" s="1"/>
  <c r="E8" i="11" s="1"/>
  <c r="H3" i="11"/>
  <c r="C10" i="7"/>
  <c r="F10" i="7" s="1"/>
  <c r="F12" i="7" s="1"/>
  <c r="C9" i="7"/>
  <c r="E9" i="7" s="1"/>
  <c r="B29" i="40"/>
  <c r="H29" i="40" s="1"/>
  <c r="N29" i="40" s="1"/>
  <c r="B43" i="40"/>
  <c r="D43" i="40"/>
  <c r="K43" i="40"/>
  <c r="H25" i="40"/>
  <c r="H28" i="40"/>
  <c r="N28" i="40" s="1"/>
  <c r="C45" i="40"/>
  <c r="J45" i="40"/>
  <c r="C46" i="40"/>
  <c r="H33" i="40"/>
  <c r="N33" i="40" s="1"/>
  <c r="B46" i="40"/>
  <c r="E46" i="40"/>
  <c r="E6" i="19"/>
  <c r="E7" i="19" s="1"/>
  <c r="E8" i="19" s="1"/>
  <c r="I25" i="40"/>
  <c r="I42" i="40" s="1"/>
  <c r="F46" i="40"/>
  <c r="G42" i="40"/>
  <c r="J46" i="40"/>
  <c r="B45" i="40"/>
  <c r="H30" i="40"/>
  <c r="N30" i="40" s="1"/>
  <c r="H4" i="7"/>
  <c r="C44" i="40"/>
  <c r="D44" i="40"/>
  <c r="I41" i="40"/>
  <c r="D42" i="40"/>
  <c r="K42" i="40"/>
  <c r="E45" i="40"/>
  <c r="M13" i="40"/>
  <c r="C41" i="40"/>
  <c r="J41" i="40"/>
  <c r="E42" i="40"/>
  <c r="G14" i="40"/>
  <c r="E3" i="13" s="1"/>
  <c r="K47" i="40"/>
  <c r="K44" i="40"/>
  <c r="H26" i="40"/>
  <c r="N26" i="40" s="1"/>
  <c r="D41" i="40"/>
  <c r="K41" i="40"/>
  <c r="F42" i="40"/>
  <c r="I43" i="40"/>
  <c r="K46" i="40"/>
  <c r="E41" i="40"/>
  <c r="C43" i="40"/>
  <c r="J43" i="40"/>
  <c r="D46" i="40"/>
  <c r="H23" i="40"/>
  <c r="N23" i="40" s="1"/>
  <c r="C40" i="7"/>
  <c r="F47" i="40"/>
  <c r="H31" i="40"/>
  <c r="N31" i="40" s="1"/>
  <c r="F7" i="12"/>
  <c r="F8" i="12" s="1"/>
  <c r="H32" i="40"/>
  <c r="F6" i="10"/>
  <c r="F7" i="10" s="1"/>
  <c r="H4" i="10"/>
  <c r="B22" i="40"/>
  <c r="B24" i="40"/>
  <c r="F4" i="9"/>
  <c r="F6" i="9" s="1"/>
  <c r="E6" i="10"/>
  <c r="E7" i="10" s="1"/>
  <c r="I47" i="40"/>
  <c r="D35" i="40"/>
  <c r="I18" i="56"/>
  <c r="E9" i="56"/>
  <c r="E10" i="56" s="1"/>
  <c r="E18" i="56" s="1"/>
  <c r="H3" i="56"/>
  <c r="H17" i="56"/>
  <c r="E7" i="9"/>
  <c r="H3" i="9"/>
  <c r="I18" i="45"/>
  <c r="F24" i="43"/>
  <c r="F25" i="43"/>
  <c r="F31" i="43"/>
  <c r="F27" i="43"/>
  <c r="F32" i="43"/>
  <c r="F26" i="43"/>
  <c r="F34" i="43"/>
  <c r="F29" i="43"/>
  <c r="F30" i="43"/>
  <c r="F38" i="43"/>
  <c r="F36" i="43"/>
  <c r="F33" i="43"/>
  <c r="F35" i="43"/>
  <c r="F28" i="43"/>
  <c r="F37" i="43"/>
  <c r="G20" i="43"/>
  <c r="H4" i="19"/>
  <c r="F6" i="19"/>
  <c r="F7" i="32"/>
  <c r="E6" i="32"/>
  <c r="E7" i="32" s="1"/>
  <c r="D5" i="32"/>
  <c r="F5" i="14"/>
  <c r="E5" i="14"/>
  <c r="D6" i="14"/>
  <c r="G2" i="14"/>
  <c r="G5" i="14" s="1"/>
  <c r="G9" i="56"/>
  <c r="G10" i="56" s="1"/>
  <c r="G18" i="56" s="1"/>
  <c r="H5" i="56"/>
  <c r="O20" i="42"/>
  <c r="K20" i="42"/>
  <c r="M18" i="28" l="1"/>
  <c r="L41" i="28"/>
  <c r="P24" i="28"/>
  <c r="P5" i="28"/>
  <c r="P27" i="28"/>
  <c r="P53" i="28"/>
  <c r="M6" i="28"/>
  <c r="P35" i="28"/>
  <c r="P51" i="28"/>
  <c r="P29" i="28"/>
  <c r="Q6" i="28"/>
  <c r="M25" i="28"/>
  <c r="P30" i="28"/>
  <c r="Q13" i="28"/>
  <c r="P36" i="28"/>
  <c r="Q37" i="28"/>
  <c r="M54" i="28"/>
  <c r="P9" i="28"/>
  <c r="C25" i="5"/>
  <c r="C28" i="5"/>
  <c r="C8" i="5"/>
  <c r="C28" i="43" s="1"/>
  <c r="P15" i="28"/>
  <c r="P18" i="28" s="1"/>
  <c r="O63" i="21"/>
  <c r="D14" i="5"/>
  <c r="C9" i="5"/>
  <c r="C29" i="43" s="1"/>
  <c r="C14" i="5"/>
  <c r="C34" i="43" s="1"/>
  <c r="L18" i="28"/>
  <c r="H14" i="5"/>
  <c r="D7" i="5"/>
  <c r="H7" i="5"/>
  <c r="C10" i="5"/>
  <c r="C30" i="43" s="1"/>
  <c r="D25" i="5"/>
  <c r="E25" i="5" s="1"/>
  <c r="H12" i="5"/>
  <c r="D12" i="5"/>
  <c r="D3" i="5"/>
  <c r="D23" i="5"/>
  <c r="D30" i="5" s="1"/>
  <c r="E29" i="5" s="1"/>
  <c r="C12" i="5"/>
  <c r="C32" i="43" s="1"/>
  <c r="G8" i="5"/>
  <c r="C25" i="31" s="1"/>
  <c r="D25" i="31" s="1"/>
  <c r="S9" i="42" s="1"/>
  <c r="R63" i="21"/>
  <c r="E24" i="5"/>
  <c r="E26" i="5"/>
  <c r="O64" i="21"/>
  <c r="C27" i="5"/>
  <c r="C29" i="5"/>
  <c r="C23" i="5"/>
  <c r="L6" i="28"/>
  <c r="C24" i="5"/>
  <c r="C4" i="5"/>
  <c r="C24" i="43" s="1"/>
  <c r="G3" i="5"/>
  <c r="C20" i="31" s="1"/>
  <c r="C3" i="5"/>
  <c r="C23" i="43" s="1"/>
  <c r="C15" i="5"/>
  <c r="C35" i="43" s="1"/>
  <c r="C17" i="5"/>
  <c r="C37" i="43" s="1"/>
  <c r="G11" i="5"/>
  <c r="C28" i="31" s="1"/>
  <c r="D28" i="31" s="1"/>
  <c r="S12" i="42" s="1"/>
  <c r="G10" i="5"/>
  <c r="C27" i="31" s="1"/>
  <c r="D27" i="31" s="1"/>
  <c r="S11" i="42" s="1"/>
  <c r="C7" i="5"/>
  <c r="C27" i="43" s="1"/>
  <c r="C6" i="5"/>
  <c r="C26" i="43" s="1"/>
  <c r="C18" i="5"/>
  <c r="C38" i="43" s="1"/>
  <c r="C11" i="5"/>
  <c r="C31" i="43" s="1"/>
  <c r="C16" i="5"/>
  <c r="C36" i="43" s="1"/>
  <c r="G14" i="5"/>
  <c r="C31" i="31" s="1"/>
  <c r="D31" i="31" s="1"/>
  <c r="S15" i="42" s="1"/>
  <c r="C13" i="5"/>
  <c r="C33" i="43" s="1"/>
  <c r="G7" i="5"/>
  <c r="C24" i="31" s="1"/>
  <c r="D24" i="31" s="1"/>
  <c r="S8" i="42" s="1"/>
  <c r="G9" i="5"/>
  <c r="C26" i="31" s="1"/>
  <c r="D26" i="31" s="1"/>
  <c r="S10" i="42" s="1"/>
  <c r="G16" i="5"/>
  <c r="C33" i="31" s="1"/>
  <c r="D33" i="31" s="1"/>
  <c r="S17" i="42" s="1"/>
  <c r="G17" i="5"/>
  <c r="C34" i="31" s="1"/>
  <c r="D34" i="31" s="1"/>
  <c r="S18" i="42" s="1"/>
  <c r="G15" i="5"/>
  <c r="C32" i="31" s="1"/>
  <c r="D32" i="31" s="1"/>
  <c r="S16" i="42" s="1"/>
  <c r="G4" i="5"/>
  <c r="C21" i="31" s="1"/>
  <c r="D21" i="31" s="1"/>
  <c r="S5" i="42" s="1"/>
  <c r="G5" i="5"/>
  <c r="C22" i="31" s="1"/>
  <c r="D22" i="31" s="1"/>
  <c r="S6" i="42" s="1"/>
  <c r="G6" i="5"/>
  <c r="C23" i="31" s="1"/>
  <c r="D23" i="31" s="1"/>
  <c r="S7" i="42" s="1"/>
  <c r="G12" i="5"/>
  <c r="C29" i="31" s="1"/>
  <c r="D29" i="31" s="1"/>
  <c r="S13" i="42" s="1"/>
  <c r="L25" i="28"/>
  <c r="P23" i="28"/>
  <c r="P25" i="28" s="1"/>
  <c r="P2" i="28"/>
  <c r="L13" i="28"/>
  <c r="P8" i="28"/>
  <c r="P13" i="28" s="1"/>
  <c r="P48" i="28"/>
  <c r="P39" i="28"/>
  <c r="P41" i="28" s="1"/>
  <c r="C30" i="5"/>
  <c r="P46" i="28"/>
  <c r="L54" i="28"/>
  <c r="P43" i="28"/>
  <c r="P44" i="28" s="1"/>
  <c r="L44" i="28"/>
  <c r="P50" i="28"/>
  <c r="P20" i="28"/>
  <c r="P21" i="28" s="1"/>
  <c r="Q54" i="28"/>
  <c r="L37" i="28"/>
  <c r="P28" i="28"/>
  <c r="M37" i="28"/>
  <c r="F6" i="50"/>
  <c r="F7" i="50" s="1"/>
  <c r="F12" i="50" s="1"/>
  <c r="D6" i="50"/>
  <c r="D7" i="50" s="1"/>
  <c r="D12" i="50" s="1"/>
  <c r="E6" i="39"/>
  <c r="G6" i="39" s="1"/>
  <c r="G7" i="39" s="1"/>
  <c r="G9" i="39" s="1"/>
  <c r="G5" i="50"/>
  <c r="H11" i="7"/>
  <c r="I5" i="56"/>
  <c r="H8" i="56"/>
  <c r="G8" i="19"/>
  <c r="H5" i="19"/>
  <c r="H6" i="19" s="1"/>
  <c r="H10" i="7"/>
  <c r="H6" i="12"/>
  <c r="C36" i="40"/>
  <c r="C48" i="40" s="1"/>
  <c r="G5" i="9"/>
  <c r="C35" i="11"/>
  <c r="G6" i="7"/>
  <c r="G7" i="7" s="1"/>
  <c r="H7" i="7" s="1"/>
  <c r="F6" i="11"/>
  <c r="F7" i="11" s="1"/>
  <c r="B36" i="40"/>
  <c r="B48" i="40" s="1"/>
  <c r="G6" i="12"/>
  <c r="G7" i="12" s="1"/>
  <c r="G8" i="12" s="1"/>
  <c r="C35" i="13"/>
  <c r="M14" i="40"/>
  <c r="H43" i="40"/>
  <c r="N43" i="40" s="1"/>
  <c r="E47" i="40"/>
  <c r="H5" i="11"/>
  <c r="H6" i="11" s="1"/>
  <c r="G6" i="11"/>
  <c r="B44" i="40"/>
  <c r="H44" i="40" s="1"/>
  <c r="N44" i="40" s="1"/>
  <c r="F13" i="7"/>
  <c r="H45" i="40"/>
  <c r="N45" i="40" s="1"/>
  <c r="H9" i="7"/>
  <c r="E12" i="7"/>
  <c r="H6" i="7"/>
  <c r="N25" i="40"/>
  <c r="G15" i="40"/>
  <c r="G34" i="40"/>
  <c r="H4" i="9"/>
  <c r="E8" i="10"/>
  <c r="E8" i="7"/>
  <c r="E13" i="7" s="1"/>
  <c r="G5" i="10"/>
  <c r="D36" i="40"/>
  <c r="D48" i="40" s="1"/>
  <c r="J36" i="40"/>
  <c r="J48" i="40" s="1"/>
  <c r="N32" i="40"/>
  <c r="E6" i="13"/>
  <c r="H3" i="13"/>
  <c r="B42" i="40"/>
  <c r="H42" i="40" s="1"/>
  <c r="N42" i="40" s="1"/>
  <c r="H24" i="40"/>
  <c r="N24" i="40" s="1"/>
  <c r="B41" i="40"/>
  <c r="H41" i="40" s="1"/>
  <c r="N41" i="40" s="1"/>
  <c r="H22" i="40"/>
  <c r="N22" i="40" s="1"/>
  <c r="F8" i="10"/>
  <c r="F7" i="9"/>
  <c r="E8" i="9"/>
  <c r="F39" i="43"/>
  <c r="F7" i="19"/>
  <c r="H7" i="19" s="1"/>
  <c r="D6" i="32"/>
  <c r="G6" i="32" s="1"/>
  <c r="G7" i="32" s="1"/>
  <c r="G9" i="32" s="1"/>
  <c r="F6" i="14"/>
  <c r="F7" i="14" s="1"/>
  <c r="E6" i="14"/>
  <c r="D7" i="14"/>
  <c r="F9" i="56"/>
  <c r="H9" i="56" s="1"/>
  <c r="P6" i="28" l="1"/>
  <c r="P37" i="28"/>
  <c r="E7" i="5"/>
  <c r="D28" i="66" s="1"/>
  <c r="E28" i="66" s="1"/>
  <c r="D19" i="5"/>
  <c r="P54" i="28"/>
  <c r="H19" i="5"/>
  <c r="E28" i="5"/>
  <c r="E23" i="5"/>
  <c r="E14" i="5"/>
  <c r="D35" i="66" s="1"/>
  <c r="E35" i="66" s="1"/>
  <c r="E27" i="5"/>
  <c r="C39" i="43"/>
  <c r="C19" i="5"/>
  <c r="G19" i="5"/>
  <c r="C36" i="31"/>
  <c r="D20" i="31"/>
  <c r="S4" i="42" s="1"/>
  <c r="S20" i="42" s="1"/>
  <c r="G7" i="50"/>
  <c r="G12" i="50" s="1"/>
  <c r="G14" i="50" s="1"/>
  <c r="E7" i="39"/>
  <c r="H10" i="56"/>
  <c r="H18" i="56" s="1"/>
  <c r="H20" i="56" s="1"/>
  <c r="H22" i="56" s="1"/>
  <c r="H24" i="56" s="1"/>
  <c r="G6" i="50"/>
  <c r="G13" i="39"/>
  <c r="H12" i="7"/>
  <c r="G6" i="14"/>
  <c r="G7" i="14" s="1"/>
  <c r="G9" i="14" s="1"/>
  <c r="G13" i="14" s="1"/>
  <c r="B31" i="14" s="1"/>
  <c r="D47" i="40"/>
  <c r="C47" i="40"/>
  <c r="B47" i="40"/>
  <c r="J47" i="40"/>
  <c r="H7" i="12"/>
  <c r="H8" i="12" s="1"/>
  <c r="H10" i="12" s="1"/>
  <c r="H14" i="12" s="1"/>
  <c r="H8" i="19"/>
  <c r="H10" i="19" s="1"/>
  <c r="H14" i="19" s="1"/>
  <c r="H15" i="19" s="1"/>
  <c r="E28" i="19" s="1"/>
  <c r="G6" i="9"/>
  <c r="G7" i="9" s="1"/>
  <c r="G8" i="9" s="1"/>
  <c r="H5" i="9"/>
  <c r="H6" i="9" s="1"/>
  <c r="G8" i="7"/>
  <c r="G13" i="7" s="1"/>
  <c r="G7" i="11"/>
  <c r="G8" i="11" s="1"/>
  <c r="H8" i="7"/>
  <c r="H13" i="7" s="1"/>
  <c r="H15" i="7" s="1"/>
  <c r="H19" i="7" s="1"/>
  <c r="H20" i="7" s="1"/>
  <c r="G35" i="40"/>
  <c r="H35" i="40" s="1"/>
  <c r="N35" i="40" s="1"/>
  <c r="M15" i="40"/>
  <c r="F4" i="13"/>
  <c r="F8" i="11"/>
  <c r="H34" i="40"/>
  <c r="G46" i="40"/>
  <c r="G6" i="10"/>
  <c r="H5" i="10"/>
  <c r="H6" i="10" s="1"/>
  <c r="E7" i="13"/>
  <c r="F8" i="9"/>
  <c r="F8" i="19"/>
  <c r="D7" i="32"/>
  <c r="G13" i="32"/>
  <c r="G14" i="32" s="1"/>
  <c r="E7" i="14"/>
  <c r="F10" i="56"/>
  <c r="I10" i="56" s="1"/>
  <c r="E30" i="5" l="1"/>
  <c r="I9" i="5"/>
  <c r="I12" i="5"/>
  <c r="I4" i="5"/>
  <c r="I13" i="5"/>
  <c r="I5" i="5"/>
  <c r="I6" i="5"/>
  <c r="I3" i="5"/>
  <c r="I11" i="5"/>
  <c r="I18" i="5"/>
  <c r="I10" i="5"/>
  <c r="I14" i="5"/>
  <c r="I16" i="5"/>
  <c r="I17" i="5"/>
  <c r="I8" i="5"/>
  <c r="I15" i="5"/>
  <c r="E35" i="7"/>
  <c r="E16" i="5"/>
  <c r="D37" i="66" s="1"/>
  <c r="E37" i="66" s="1"/>
  <c r="E15" i="5"/>
  <c r="D36" i="66" s="1"/>
  <c r="E36" i="66" s="1"/>
  <c r="E5" i="5"/>
  <c r="D26" i="66" s="1"/>
  <c r="E26" i="66" s="1"/>
  <c r="E12" i="5"/>
  <c r="D33" i="66" s="1"/>
  <c r="E33" i="66" s="1"/>
  <c r="E18" i="5"/>
  <c r="D39" i="66" s="1"/>
  <c r="E39" i="66" s="1"/>
  <c r="E11" i="5"/>
  <c r="D32" i="66" s="1"/>
  <c r="E32" i="66" s="1"/>
  <c r="E17" i="5"/>
  <c r="D38" i="66" s="1"/>
  <c r="E38" i="66" s="1"/>
  <c r="E9" i="5"/>
  <c r="D30" i="66" s="1"/>
  <c r="E30" i="66" s="1"/>
  <c r="E13" i="5"/>
  <c r="D34" i="66" s="1"/>
  <c r="E34" i="66" s="1"/>
  <c r="E3" i="5"/>
  <c r="E6" i="5"/>
  <c r="D27" i="66" s="1"/>
  <c r="E27" i="66" s="1"/>
  <c r="E8" i="5"/>
  <c r="D29" i="66" s="1"/>
  <c r="E29" i="66" s="1"/>
  <c r="E4" i="5"/>
  <c r="D25" i="66" s="1"/>
  <c r="E25" i="66" s="1"/>
  <c r="E10" i="5"/>
  <c r="D31" i="66" s="1"/>
  <c r="E31" i="66" s="1"/>
  <c r="I7" i="5"/>
  <c r="B33" i="14"/>
  <c r="B23" i="14"/>
  <c r="B22" i="14"/>
  <c r="B21" i="14"/>
  <c r="G14" i="14"/>
  <c r="G15" i="14" s="1"/>
  <c r="B24" i="14"/>
  <c r="B28" i="14"/>
  <c r="B29" i="14"/>
  <c r="B25" i="14"/>
  <c r="B18" i="14"/>
  <c r="B27" i="14"/>
  <c r="D36" i="31"/>
  <c r="B19" i="14"/>
  <c r="B30" i="14"/>
  <c r="C27" i="14"/>
  <c r="I23" i="56"/>
  <c r="B26" i="14"/>
  <c r="B20" i="14"/>
  <c r="G14" i="39"/>
  <c r="G15" i="39" s="1"/>
  <c r="B32" i="14"/>
  <c r="G18" i="50"/>
  <c r="G19" i="50" s="1"/>
  <c r="H7" i="9"/>
  <c r="H8" i="9" s="1"/>
  <c r="H11" i="9" s="1"/>
  <c r="H15" i="9" s="1"/>
  <c r="H16" i="9" s="1"/>
  <c r="D29" i="9" s="1"/>
  <c r="D35" i="7"/>
  <c r="H21" i="7"/>
  <c r="D37" i="7"/>
  <c r="D33" i="7"/>
  <c r="D36" i="7"/>
  <c r="D25" i="7"/>
  <c r="E27" i="7"/>
  <c r="D39" i="7"/>
  <c r="D31" i="7"/>
  <c r="D26" i="7"/>
  <c r="D24" i="7"/>
  <c r="D32" i="7"/>
  <c r="D34" i="7"/>
  <c r="E30" i="7"/>
  <c r="D30" i="7"/>
  <c r="D38" i="7"/>
  <c r="E29" i="7"/>
  <c r="H7" i="11"/>
  <c r="H8" i="11" s="1"/>
  <c r="H10" i="11" s="1"/>
  <c r="D27" i="7"/>
  <c r="D28" i="7"/>
  <c r="D29" i="7"/>
  <c r="E31" i="7"/>
  <c r="E34" i="7"/>
  <c r="E24" i="7"/>
  <c r="E36" i="7"/>
  <c r="E37" i="7"/>
  <c r="E25" i="7"/>
  <c r="E39" i="7"/>
  <c r="E26" i="7"/>
  <c r="E33" i="7"/>
  <c r="E28" i="7"/>
  <c r="G5" i="13"/>
  <c r="G36" i="40"/>
  <c r="G48" i="40" s="1"/>
  <c r="M16" i="40"/>
  <c r="N34" i="40"/>
  <c r="N46" i="40" s="1"/>
  <c r="H46" i="40"/>
  <c r="H4" i="13"/>
  <c r="F6" i="13"/>
  <c r="F7" i="13" s="1"/>
  <c r="F8" i="13" s="1"/>
  <c r="G7" i="10"/>
  <c r="H7" i="10" s="1"/>
  <c r="H8" i="10" s="1"/>
  <c r="H10" i="10" s="1"/>
  <c r="C33" i="12"/>
  <c r="C27" i="12"/>
  <c r="C20" i="12"/>
  <c r="C30" i="12"/>
  <c r="C34" i="12"/>
  <c r="C23" i="12"/>
  <c r="C25" i="12"/>
  <c r="C21" i="12"/>
  <c r="C32" i="12"/>
  <c r="C22" i="12"/>
  <c r="C19" i="12"/>
  <c r="C31" i="12"/>
  <c r="C24" i="12"/>
  <c r="C29" i="12"/>
  <c r="C26" i="12"/>
  <c r="C28" i="12"/>
  <c r="H15" i="12"/>
  <c r="E8" i="13"/>
  <c r="E25" i="19"/>
  <c r="E24" i="19"/>
  <c r="E20" i="19"/>
  <c r="E30" i="19"/>
  <c r="E21" i="19"/>
  <c r="E23" i="19"/>
  <c r="E32" i="19"/>
  <c r="E34" i="19"/>
  <c r="E29" i="19"/>
  <c r="E33" i="19"/>
  <c r="E19" i="19"/>
  <c r="E22" i="19"/>
  <c r="E31" i="19"/>
  <c r="E26" i="19"/>
  <c r="E27" i="19"/>
  <c r="D31" i="19"/>
  <c r="D25" i="19"/>
  <c r="D33" i="19"/>
  <c r="D21" i="19"/>
  <c r="D22" i="19"/>
  <c r="D19" i="19"/>
  <c r="D32" i="19"/>
  <c r="D26" i="19"/>
  <c r="D24" i="19"/>
  <c r="D34" i="19"/>
  <c r="D20" i="19"/>
  <c r="D29" i="19"/>
  <c r="D23" i="19"/>
  <c r="D30" i="19"/>
  <c r="H16" i="19"/>
  <c r="D28" i="19"/>
  <c r="D27" i="19"/>
  <c r="C30" i="32"/>
  <c r="C18" i="32"/>
  <c r="C26" i="32"/>
  <c r="C31" i="32"/>
  <c r="C33" i="32"/>
  <c r="C27" i="32"/>
  <c r="C29" i="32"/>
  <c r="B33" i="32"/>
  <c r="B30" i="32"/>
  <c r="B27" i="32"/>
  <c r="B18" i="32"/>
  <c r="G15" i="32"/>
  <c r="B31" i="32"/>
  <c r="B26" i="32"/>
  <c r="B29" i="32"/>
  <c r="C29" i="14"/>
  <c r="C31" i="14"/>
  <c r="D31" i="14" s="1"/>
  <c r="C21" i="14"/>
  <c r="D21" i="14" s="1"/>
  <c r="C28" i="14"/>
  <c r="C25" i="14"/>
  <c r="D25" i="14" s="1"/>
  <c r="C18" i="14"/>
  <c r="C22" i="14"/>
  <c r="C33" i="14"/>
  <c r="C20" i="14"/>
  <c r="C23" i="14"/>
  <c r="C24" i="14"/>
  <c r="C30" i="14"/>
  <c r="C19" i="14"/>
  <c r="F18" i="56"/>
  <c r="F35" i="7" l="1"/>
  <c r="C15" i="42" s="1"/>
  <c r="F29" i="19"/>
  <c r="D18" i="14"/>
  <c r="U4" i="42" s="1"/>
  <c r="D23" i="14"/>
  <c r="D28" i="14"/>
  <c r="C32" i="14"/>
  <c r="D32" i="14" s="1"/>
  <c r="U18" i="42" s="1"/>
  <c r="E19" i="5"/>
  <c r="D24" i="66"/>
  <c r="C26" i="14"/>
  <c r="D26" i="14" s="1"/>
  <c r="U12" i="42" s="1"/>
  <c r="E38" i="7"/>
  <c r="F38" i="7" s="1"/>
  <c r="C18" i="42" s="1"/>
  <c r="I19" i="5"/>
  <c r="E32" i="7"/>
  <c r="F32" i="7" s="1"/>
  <c r="C12" i="42" s="1"/>
  <c r="D33" i="14"/>
  <c r="D22" i="14"/>
  <c r="D24" i="14"/>
  <c r="D29" i="14"/>
  <c r="U15" i="42" s="1"/>
  <c r="D27" i="14"/>
  <c r="U13" i="42" s="1"/>
  <c r="D19" i="14"/>
  <c r="U5" i="42" s="1"/>
  <c r="B34" i="14"/>
  <c r="F20" i="19"/>
  <c r="M5" i="42" s="1"/>
  <c r="D30" i="14"/>
  <c r="U16" i="42" s="1"/>
  <c r="F34" i="7"/>
  <c r="D20" i="14"/>
  <c r="B32" i="50"/>
  <c r="B37" i="50"/>
  <c r="B29" i="50"/>
  <c r="B30" i="50"/>
  <c r="B27" i="50"/>
  <c r="B25" i="50"/>
  <c r="B35" i="50"/>
  <c r="B28" i="50"/>
  <c r="B26" i="50"/>
  <c r="B24" i="50"/>
  <c r="B39" i="50"/>
  <c r="B34" i="50"/>
  <c r="B23" i="50"/>
  <c r="B36" i="50"/>
  <c r="B31" i="50"/>
  <c r="B38" i="50"/>
  <c r="G20" i="50"/>
  <c r="C23" i="50"/>
  <c r="C32" i="50"/>
  <c r="C26" i="50"/>
  <c r="C36" i="50"/>
  <c r="C34" i="50"/>
  <c r="C29" i="50"/>
  <c r="C30" i="50"/>
  <c r="C25" i="50"/>
  <c r="C38" i="50"/>
  <c r="C35" i="50"/>
  <c r="C27" i="50"/>
  <c r="C24" i="50"/>
  <c r="C37" i="50"/>
  <c r="C39" i="50"/>
  <c r="C31" i="50"/>
  <c r="C28" i="50"/>
  <c r="B33" i="39"/>
  <c r="B30" i="39"/>
  <c r="B23" i="39"/>
  <c r="B18" i="39"/>
  <c r="B32" i="39"/>
  <c r="B27" i="39"/>
  <c r="B31" i="39"/>
  <c r="B22" i="39"/>
  <c r="B24" i="39"/>
  <c r="B29" i="39"/>
  <c r="B19" i="39"/>
  <c r="B20" i="39"/>
  <c r="B21" i="39"/>
  <c r="B26" i="39"/>
  <c r="B25" i="39"/>
  <c r="B28" i="39"/>
  <c r="F39" i="7"/>
  <c r="C19" i="42" s="1"/>
  <c r="F26" i="7"/>
  <c r="C6" i="42" s="1"/>
  <c r="D29" i="32"/>
  <c r="W15" i="42" s="1"/>
  <c r="D30" i="32"/>
  <c r="W16" i="42" s="1"/>
  <c r="F37" i="7"/>
  <c r="C17" i="42" s="1"/>
  <c r="F27" i="7"/>
  <c r="C7" i="42" s="1"/>
  <c r="F29" i="7"/>
  <c r="C9" i="42" s="1"/>
  <c r="F33" i="7"/>
  <c r="C13" i="42" s="1"/>
  <c r="F25" i="7"/>
  <c r="C5" i="42" s="1"/>
  <c r="F30" i="7"/>
  <c r="C10" i="42" s="1"/>
  <c r="F36" i="7"/>
  <c r="C16" i="42" s="1"/>
  <c r="F31" i="7"/>
  <c r="C11" i="42" s="1"/>
  <c r="D40" i="7"/>
  <c r="G8" i="10"/>
  <c r="H14" i="11"/>
  <c r="F28" i="7"/>
  <c r="C8" i="42" s="1"/>
  <c r="F24" i="7"/>
  <c r="C4" i="42" s="1"/>
  <c r="F30" i="19"/>
  <c r="M15" i="42" s="1"/>
  <c r="F26" i="19"/>
  <c r="M11" i="42" s="1"/>
  <c r="F28" i="19"/>
  <c r="M13" i="42" s="1"/>
  <c r="G47" i="40"/>
  <c r="H36" i="40"/>
  <c r="H48" i="40" s="1"/>
  <c r="G6" i="13"/>
  <c r="H5" i="13"/>
  <c r="H6" i="13" s="1"/>
  <c r="F32" i="19"/>
  <c r="M17" i="42" s="1"/>
  <c r="F31" i="19"/>
  <c r="M16" i="42" s="1"/>
  <c r="F24" i="19"/>
  <c r="M9" i="42" s="1"/>
  <c r="F25" i="19"/>
  <c r="M10" i="42" s="1"/>
  <c r="E35" i="19"/>
  <c r="D31" i="9"/>
  <c r="E31" i="9" s="1"/>
  <c r="D24" i="9"/>
  <c r="E24" i="9" s="1"/>
  <c r="D27" i="9"/>
  <c r="E27" i="9" s="1"/>
  <c r="E29" i="9"/>
  <c r="D30" i="9"/>
  <c r="E30" i="9" s="1"/>
  <c r="D23" i="9"/>
  <c r="E23" i="9" s="1"/>
  <c r="D34" i="9"/>
  <c r="E34" i="9" s="1"/>
  <c r="D26" i="9"/>
  <c r="E26" i="9" s="1"/>
  <c r="D35" i="9"/>
  <c r="E35" i="9" s="1"/>
  <c r="D28" i="9"/>
  <c r="E28" i="9" s="1"/>
  <c r="D22" i="9"/>
  <c r="E22" i="9" s="1"/>
  <c r="D21" i="9"/>
  <c r="E21" i="9" s="1"/>
  <c r="D20" i="9"/>
  <c r="E20" i="9" s="1"/>
  <c r="D32" i="9"/>
  <c r="E32" i="9" s="1"/>
  <c r="D25" i="9"/>
  <c r="E25" i="9" s="1"/>
  <c r="D33" i="9"/>
  <c r="E33" i="9" s="1"/>
  <c r="C14" i="42"/>
  <c r="D20" i="12"/>
  <c r="E20" i="12" s="1"/>
  <c r="D28" i="12"/>
  <c r="E28" i="12" s="1"/>
  <c r="D30" i="12"/>
  <c r="E30" i="12" s="1"/>
  <c r="D23" i="12"/>
  <c r="E23" i="12" s="1"/>
  <c r="D31" i="12"/>
  <c r="E31" i="12" s="1"/>
  <c r="D33" i="12"/>
  <c r="E33" i="12" s="1"/>
  <c r="D26" i="12"/>
  <c r="E26" i="12" s="1"/>
  <c r="D21" i="12"/>
  <c r="E21" i="12" s="1"/>
  <c r="D34" i="12"/>
  <c r="E34" i="12" s="1"/>
  <c r="D24" i="12"/>
  <c r="E24" i="12" s="1"/>
  <c r="D29" i="12"/>
  <c r="E29" i="12" s="1"/>
  <c r="D19" i="12"/>
  <c r="D32" i="12"/>
  <c r="E32" i="12" s="1"/>
  <c r="D22" i="12"/>
  <c r="E22" i="12" s="1"/>
  <c r="D27" i="12"/>
  <c r="E27" i="12" s="1"/>
  <c r="D25" i="12"/>
  <c r="E25" i="12" s="1"/>
  <c r="H16" i="12"/>
  <c r="C35" i="12"/>
  <c r="F27" i="19"/>
  <c r="M12" i="42" s="1"/>
  <c r="F22" i="19"/>
  <c r="M7" i="42" s="1"/>
  <c r="H14" i="10"/>
  <c r="H15" i="10" s="1"/>
  <c r="D28" i="10" s="1"/>
  <c r="H17" i="9"/>
  <c r="F23" i="19"/>
  <c r="M14" i="42"/>
  <c r="D35" i="19"/>
  <c r="F19" i="19"/>
  <c r="F34" i="19"/>
  <c r="F21" i="19"/>
  <c r="F33" i="19"/>
  <c r="B34" i="32"/>
  <c r="D18" i="32"/>
  <c r="C34" i="32"/>
  <c r="D27" i="32"/>
  <c r="D26" i="32"/>
  <c r="D33" i="32"/>
  <c r="D31" i="32"/>
  <c r="U11" i="42"/>
  <c r="U7" i="42"/>
  <c r="U17" i="42"/>
  <c r="U8" i="42"/>
  <c r="U19" i="42"/>
  <c r="U14" i="42"/>
  <c r="U9" i="42"/>
  <c r="U10" i="42"/>
  <c r="E40" i="7" l="1"/>
  <c r="C34" i="14"/>
  <c r="D40" i="66"/>
  <c r="E24" i="66"/>
  <c r="E40" i="66" s="1"/>
  <c r="F24" i="66" s="1"/>
  <c r="D34" i="14"/>
  <c r="E24" i="14" s="1"/>
  <c r="U6" i="42"/>
  <c r="D34" i="50"/>
  <c r="D39" i="50"/>
  <c r="E39" i="50" s="1"/>
  <c r="F39" i="50" s="1"/>
  <c r="D29" i="50"/>
  <c r="E29" i="50" s="1"/>
  <c r="F29" i="50" s="1"/>
  <c r="Q15" i="42"/>
  <c r="Q10" i="42"/>
  <c r="Q19" i="42"/>
  <c r="C40" i="50"/>
  <c r="D24" i="50"/>
  <c r="D37" i="50"/>
  <c r="Q14" i="42"/>
  <c r="Q8" i="42"/>
  <c r="D26" i="50"/>
  <c r="D32" i="50"/>
  <c r="Q11" i="42"/>
  <c r="Q17" i="42"/>
  <c r="D38" i="50"/>
  <c r="D28" i="50"/>
  <c r="Q12" i="42"/>
  <c r="Q13" i="42"/>
  <c r="D31" i="50"/>
  <c r="D35" i="50"/>
  <c r="Q7" i="42"/>
  <c r="Q18" i="42"/>
  <c r="D36" i="50"/>
  <c r="D25" i="50"/>
  <c r="Q16" i="42"/>
  <c r="Q6" i="42"/>
  <c r="B34" i="39"/>
  <c r="Q20" i="42" s="1"/>
  <c r="Q4" i="42"/>
  <c r="B40" i="50"/>
  <c r="D23" i="50"/>
  <c r="D27" i="50"/>
  <c r="Q5" i="42"/>
  <c r="Q9" i="42"/>
  <c r="E34" i="50"/>
  <c r="F34" i="50" s="1"/>
  <c r="D30" i="50"/>
  <c r="F40" i="7"/>
  <c r="G24" i="7" s="1"/>
  <c r="H15" i="11"/>
  <c r="G7" i="13"/>
  <c r="H7" i="13" s="1"/>
  <c r="H8" i="13" s="1"/>
  <c r="H10" i="13" s="1"/>
  <c r="N36" i="40"/>
  <c r="N48" i="40" s="1"/>
  <c r="H47" i="40"/>
  <c r="G11" i="42"/>
  <c r="G16" i="42"/>
  <c r="G17" i="42"/>
  <c r="G9" i="42"/>
  <c r="G8" i="42"/>
  <c r="G14" i="42"/>
  <c r="G10" i="42"/>
  <c r="G12" i="42"/>
  <c r="G6" i="42"/>
  <c r="G7" i="42"/>
  <c r="H16" i="10"/>
  <c r="E28" i="10"/>
  <c r="E13" i="42" s="1"/>
  <c r="D22" i="10"/>
  <c r="E22" i="10" s="1"/>
  <c r="E7" i="42" s="1"/>
  <c r="D19" i="10"/>
  <c r="D25" i="10"/>
  <c r="E25" i="10" s="1"/>
  <c r="E10" i="42" s="1"/>
  <c r="D24" i="10"/>
  <c r="E24" i="10" s="1"/>
  <c r="E9" i="42" s="1"/>
  <c r="D23" i="10"/>
  <c r="E23" i="10" s="1"/>
  <c r="E8" i="42" s="1"/>
  <c r="D21" i="10"/>
  <c r="E21" i="10" s="1"/>
  <c r="E6" i="42" s="1"/>
  <c r="D32" i="10"/>
  <c r="E32" i="10" s="1"/>
  <c r="E17" i="42" s="1"/>
  <c r="D26" i="10"/>
  <c r="E26" i="10" s="1"/>
  <c r="E11" i="42" s="1"/>
  <c r="D27" i="10"/>
  <c r="E27" i="10" s="1"/>
  <c r="E12" i="42" s="1"/>
  <c r="D31" i="10"/>
  <c r="E31" i="10" s="1"/>
  <c r="E16" i="42" s="1"/>
  <c r="D20" i="10"/>
  <c r="E20" i="10" s="1"/>
  <c r="E5" i="42" s="1"/>
  <c r="D29" i="10"/>
  <c r="E29" i="10" s="1"/>
  <c r="E14" i="42" s="1"/>
  <c r="D34" i="10"/>
  <c r="E34" i="10" s="1"/>
  <c r="E19" i="42" s="1"/>
  <c r="D30" i="10"/>
  <c r="E30" i="10" s="1"/>
  <c r="E15" i="42" s="1"/>
  <c r="D33" i="10"/>
  <c r="E33" i="10" s="1"/>
  <c r="E18" i="42" s="1"/>
  <c r="G13" i="42"/>
  <c r="G19" i="42"/>
  <c r="G18" i="42"/>
  <c r="D35" i="12"/>
  <c r="E19" i="12"/>
  <c r="E36" i="9"/>
  <c r="F27" i="9" s="1"/>
  <c r="G5" i="42"/>
  <c r="G15" i="42"/>
  <c r="D10" i="42"/>
  <c r="D36" i="9"/>
  <c r="F35" i="19"/>
  <c r="G23" i="19" s="1"/>
  <c r="M4" i="42"/>
  <c r="M19" i="42"/>
  <c r="M6" i="42"/>
  <c r="M18" i="42"/>
  <c r="M8" i="42"/>
  <c r="W12" i="42"/>
  <c r="W17" i="42"/>
  <c r="W4" i="42"/>
  <c r="D34" i="32"/>
  <c r="W13" i="42"/>
  <c r="W19" i="42"/>
  <c r="E22" i="14"/>
  <c r="E33" i="14" l="1"/>
  <c r="E21" i="14"/>
  <c r="F31" i="66"/>
  <c r="F27" i="66"/>
  <c r="F37" i="66"/>
  <c r="F34" i="66"/>
  <c r="F38" i="66"/>
  <c r="F32" i="66"/>
  <c r="F39" i="66"/>
  <c r="F26" i="66"/>
  <c r="F30" i="66"/>
  <c r="F36" i="66"/>
  <c r="F29" i="66"/>
  <c r="F25" i="66"/>
  <c r="F33" i="66"/>
  <c r="F35" i="66"/>
  <c r="F28" i="66"/>
  <c r="G26" i="7"/>
  <c r="E23" i="14"/>
  <c r="E29" i="14"/>
  <c r="E26" i="14"/>
  <c r="D37" i="14"/>
  <c r="E27" i="14"/>
  <c r="E32" i="14"/>
  <c r="U20" i="42"/>
  <c r="V6" i="42" s="1"/>
  <c r="E31" i="14"/>
  <c r="E28" i="14"/>
  <c r="E19" i="14"/>
  <c r="E30" i="14"/>
  <c r="E18" i="14"/>
  <c r="E20" i="14"/>
  <c r="E25" i="14"/>
  <c r="G39" i="7"/>
  <c r="G31" i="7"/>
  <c r="C23" i="39"/>
  <c r="C30" i="39"/>
  <c r="C22" i="39"/>
  <c r="G35" i="7"/>
  <c r="G37" i="7"/>
  <c r="E25" i="50"/>
  <c r="F25" i="50" s="1"/>
  <c r="F38" i="50"/>
  <c r="R8" i="42"/>
  <c r="E23" i="50"/>
  <c r="D42" i="50"/>
  <c r="D40" i="50"/>
  <c r="G23" i="50" s="1"/>
  <c r="E28" i="50"/>
  <c r="F28" i="50" s="1"/>
  <c r="F24" i="50"/>
  <c r="G29" i="7"/>
  <c r="R4" i="42"/>
  <c r="F36" i="50"/>
  <c r="F35" i="50"/>
  <c r="C31" i="39"/>
  <c r="C28" i="39"/>
  <c r="C33" i="39"/>
  <c r="R18" i="42"/>
  <c r="E31" i="50"/>
  <c r="F31" i="50" s="1"/>
  <c r="R17" i="42"/>
  <c r="R14" i="42"/>
  <c r="R19" i="42"/>
  <c r="R9" i="42"/>
  <c r="C18" i="39"/>
  <c r="C32" i="39"/>
  <c r="R13" i="42"/>
  <c r="C25" i="39"/>
  <c r="R10" i="42"/>
  <c r="C19" i="39"/>
  <c r="R6" i="42"/>
  <c r="R7" i="42"/>
  <c r="C27" i="39"/>
  <c r="R11" i="42"/>
  <c r="C24" i="39"/>
  <c r="R5" i="42"/>
  <c r="C20" i="39"/>
  <c r="C21" i="39"/>
  <c r="R12" i="42"/>
  <c r="E32" i="50"/>
  <c r="F32" i="50" s="1"/>
  <c r="R15" i="42"/>
  <c r="E30" i="50"/>
  <c r="F30" i="50" s="1"/>
  <c r="E27" i="50"/>
  <c r="F27" i="50" s="1"/>
  <c r="R16" i="42"/>
  <c r="C26" i="39"/>
  <c r="E26" i="50"/>
  <c r="F26" i="50" s="1"/>
  <c r="E37" i="50"/>
  <c r="F37" i="50" s="1"/>
  <c r="C29" i="39"/>
  <c r="G36" i="7"/>
  <c r="C20" i="42"/>
  <c r="G34" i="7"/>
  <c r="G28" i="7"/>
  <c r="G38" i="7"/>
  <c r="G33" i="7"/>
  <c r="G25" i="7"/>
  <c r="G30" i="7"/>
  <c r="G32" i="7"/>
  <c r="G27" i="7"/>
  <c r="E26" i="32"/>
  <c r="N47" i="40"/>
  <c r="D28" i="11"/>
  <c r="E28" i="11" s="1"/>
  <c r="D21" i="11"/>
  <c r="E21" i="11" s="1"/>
  <c r="D29" i="11"/>
  <c r="E29" i="11" s="1"/>
  <c r="D24" i="11"/>
  <c r="E24" i="11" s="1"/>
  <c r="D27" i="11"/>
  <c r="E27" i="11" s="1"/>
  <c r="D25" i="11"/>
  <c r="E25" i="11" s="1"/>
  <c r="D30" i="11"/>
  <c r="E30" i="11" s="1"/>
  <c r="D19" i="11"/>
  <c r="D22" i="11"/>
  <c r="E22" i="11" s="1"/>
  <c r="D20" i="11"/>
  <c r="E20" i="11" s="1"/>
  <c r="D33" i="11"/>
  <c r="E33" i="11" s="1"/>
  <c r="D31" i="11"/>
  <c r="E31" i="11" s="1"/>
  <c r="D26" i="11"/>
  <c r="E26" i="11" s="1"/>
  <c r="D23" i="11"/>
  <c r="E23" i="11" s="1"/>
  <c r="D34" i="11"/>
  <c r="E34" i="11" s="1"/>
  <c r="D32" i="11"/>
  <c r="E32" i="11" s="1"/>
  <c r="H16" i="11"/>
  <c r="F23" i="9"/>
  <c r="F31" i="9"/>
  <c r="F22" i="9"/>
  <c r="F34" i="9"/>
  <c r="F20" i="9"/>
  <c r="G33" i="19"/>
  <c r="G21" i="19"/>
  <c r="G19" i="19"/>
  <c r="G8" i="13"/>
  <c r="H14" i="13"/>
  <c r="H15" i="13" s="1"/>
  <c r="E28" i="13" s="1"/>
  <c r="F24" i="9"/>
  <c r="F26" i="9"/>
  <c r="F21" i="9"/>
  <c r="G34" i="19"/>
  <c r="F30" i="9"/>
  <c r="G4" i="42"/>
  <c r="E35" i="12"/>
  <c r="F35" i="9"/>
  <c r="F25" i="9"/>
  <c r="F29" i="9"/>
  <c r="F28" i="9"/>
  <c r="F32" i="9"/>
  <c r="E19" i="10"/>
  <c r="D35" i="10"/>
  <c r="F33" i="9"/>
  <c r="M20" i="42"/>
  <c r="N4" i="42" s="1"/>
  <c r="G25" i="19"/>
  <c r="G26" i="19"/>
  <c r="G22" i="19"/>
  <c r="G30" i="19"/>
  <c r="G20" i="19"/>
  <c r="G32" i="19"/>
  <c r="G24" i="19"/>
  <c r="G29" i="19"/>
  <c r="G27" i="19"/>
  <c r="G28" i="19"/>
  <c r="G31" i="19"/>
  <c r="E33" i="32"/>
  <c r="E18" i="32"/>
  <c r="E31" i="32"/>
  <c r="E27" i="32"/>
  <c r="W20" i="42"/>
  <c r="E29" i="32"/>
  <c r="E30" i="32"/>
  <c r="F40" i="66" l="1"/>
  <c r="V11" i="42"/>
  <c r="V9" i="42"/>
  <c r="E34" i="14"/>
  <c r="V12" i="42"/>
  <c r="V10" i="42"/>
  <c r="V16" i="42"/>
  <c r="V4" i="42"/>
  <c r="V18" i="42"/>
  <c r="V7" i="42"/>
  <c r="V8" i="42"/>
  <c r="V19" i="42"/>
  <c r="V5" i="42"/>
  <c r="V17" i="42"/>
  <c r="V14" i="42"/>
  <c r="V13" i="42"/>
  <c r="V15" i="42"/>
  <c r="G35" i="50"/>
  <c r="G30" i="50"/>
  <c r="G31" i="50"/>
  <c r="G36" i="50"/>
  <c r="G32" i="50"/>
  <c r="G38" i="50"/>
  <c r="G37" i="50"/>
  <c r="G27" i="50"/>
  <c r="G26" i="50"/>
  <c r="G28" i="50"/>
  <c r="G25" i="50"/>
  <c r="E40" i="50"/>
  <c r="E42" i="50" s="1"/>
  <c r="G24" i="50"/>
  <c r="G33" i="50"/>
  <c r="G29" i="50"/>
  <c r="G34" i="50"/>
  <c r="G39" i="50"/>
  <c r="C34" i="39"/>
  <c r="R20" i="42"/>
  <c r="F23" i="50"/>
  <c r="F40" i="50" s="1"/>
  <c r="G40" i="7"/>
  <c r="E34" i="32"/>
  <c r="F16" i="42"/>
  <c r="F10" i="42"/>
  <c r="F18" i="42"/>
  <c r="F12" i="42"/>
  <c r="F17" i="42"/>
  <c r="F5" i="42"/>
  <c r="F9" i="42"/>
  <c r="F19" i="42"/>
  <c r="F7" i="42"/>
  <c r="F14" i="42"/>
  <c r="F8" i="42"/>
  <c r="E19" i="11"/>
  <c r="D35" i="11"/>
  <c r="F6" i="42"/>
  <c r="F11" i="42"/>
  <c r="F15" i="42"/>
  <c r="F13" i="42"/>
  <c r="N19" i="42"/>
  <c r="E26" i="13"/>
  <c r="E20" i="13"/>
  <c r="E33" i="13"/>
  <c r="E22" i="13"/>
  <c r="E30" i="13"/>
  <c r="E32" i="13"/>
  <c r="E19" i="13"/>
  <c r="E29" i="13"/>
  <c r="E31" i="13"/>
  <c r="E25" i="13"/>
  <c r="E23" i="13"/>
  <c r="E24" i="13"/>
  <c r="E34" i="13"/>
  <c r="E21" i="13"/>
  <c r="E27" i="13"/>
  <c r="D21" i="13"/>
  <c r="D24" i="13"/>
  <c r="H16" i="13"/>
  <c r="D27" i="13"/>
  <c r="D19" i="13"/>
  <c r="D28" i="13"/>
  <c r="D30" i="13"/>
  <c r="D22" i="13"/>
  <c r="D29" i="13"/>
  <c r="D32" i="13"/>
  <c r="D20" i="13"/>
  <c r="D31" i="13"/>
  <c r="D23" i="13"/>
  <c r="D25" i="13"/>
  <c r="D34" i="13"/>
  <c r="D26" i="13"/>
  <c r="D33" i="13"/>
  <c r="G35" i="19"/>
  <c r="G20" i="42"/>
  <c r="F26" i="12"/>
  <c r="F24" i="12"/>
  <c r="F25" i="12"/>
  <c r="F22" i="12"/>
  <c r="F34" i="12"/>
  <c r="F31" i="12"/>
  <c r="F33" i="12"/>
  <c r="F20" i="12"/>
  <c r="F23" i="12"/>
  <c r="F27" i="12"/>
  <c r="F28" i="12"/>
  <c r="F30" i="12"/>
  <c r="F32" i="12"/>
  <c r="F29" i="12"/>
  <c r="F21" i="12"/>
  <c r="F19" i="12"/>
  <c r="E4" i="42"/>
  <c r="E35" i="10"/>
  <c r="F19" i="10" s="1"/>
  <c r="X4" i="42"/>
  <c r="D7" i="42"/>
  <c r="D8" i="42"/>
  <c r="D6" i="42"/>
  <c r="D19" i="42"/>
  <c r="D18" i="42"/>
  <c r="D13" i="42"/>
  <c r="D20" i="42"/>
  <c r="D9" i="42"/>
  <c r="D17" i="42"/>
  <c r="D15" i="42"/>
  <c r="D12" i="42"/>
  <c r="D14" i="42"/>
  <c r="D16" i="42"/>
  <c r="D5" i="42"/>
  <c r="D11" i="42"/>
  <c r="N10" i="42"/>
  <c r="N13" i="42"/>
  <c r="N16" i="42"/>
  <c r="N12" i="42"/>
  <c r="N5" i="42"/>
  <c r="N9" i="42"/>
  <c r="N14" i="42"/>
  <c r="N17" i="42"/>
  <c r="N11" i="42"/>
  <c r="N7" i="42"/>
  <c r="N15" i="42"/>
  <c r="N6" i="42"/>
  <c r="N18" i="42"/>
  <c r="N8" i="42"/>
  <c r="X17" i="42"/>
  <c r="X19" i="42"/>
  <c r="X13" i="42"/>
  <c r="X12" i="42"/>
  <c r="X7" i="42"/>
  <c r="X14" i="42"/>
  <c r="X8" i="42"/>
  <c r="X9" i="42"/>
  <c r="X6" i="42"/>
  <c r="X18" i="42"/>
  <c r="X5" i="42"/>
  <c r="X11" i="42"/>
  <c r="X10" i="42"/>
  <c r="X15" i="42"/>
  <c r="X16" i="42"/>
  <c r="V20" i="42" l="1"/>
  <c r="G40" i="50"/>
  <c r="F33" i="13"/>
  <c r="H18" i="42" s="1"/>
  <c r="F4" i="42"/>
  <c r="E35" i="11"/>
  <c r="F19" i="11" s="1"/>
  <c r="F21" i="13"/>
  <c r="H6" i="42" s="1"/>
  <c r="I6" i="42" s="1"/>
  <c r="AG6" i="42" s="1"/>
  <c r="F31" i="13"/>
  <c r="H16" i="42" s="1"/>
  <c r="I16" i="42" s="1"/>
  <c r="AG16" i="42" s="1"/>
  <c r="F20" i="13"/>
  <c r="H5" i="42" s="1"/>
  <c r="I5" i="42" s="1"/>
  <c r="AG5" i="42" s="1"/>
  <c r="F34" i="13"/>
  <c r="H19" i="42" s="1"/>
  <c r="I19" i="42" s="1"/>
  <c r="AG19" i="42" s="1"/>
  <c r="F29" i="13"/>
  <c r="H14" i="42" s="1"/>
  <c r="I14" i="42" s="1"/>
  <c r="AG14" i="42" s="1"/>
  <c r="F23" i="13"/>
  <c r="H8" i="42" s="1"/>
  <c r="I8" i="42" s="1"/>
  <c r="AG8" i="42" s="1"/>
  <c r="F26" i="13"/>
  <c r="H11" i="42" s="1"/>
  <c r="I11" i="42" s="1"/>
  <c r="AG11" i="42" s="1"/>
  <c r="F24" i="13"/>
  <c r="H9" i="42" s="1"/>
  <c r="I9" i="42" s="1"/>
  <c r="AG9" i="42" s="1"/>
  <c r="F30" i="13"/>
  <c r="H15" i="42" s="1"/>
  <c r="I15" i="42" s="1"/>
  <c r="AG15" i="42" s="1"/>
  <c r="I18" i="42"/>
  <c r="AG18" i="42" s="1"/>
  <c r="F25" i="13"/>
  <c r="H10" i="42" s="1"/>
  <c r="I10" i="42" s="1"/>
  <c r="AG10" i="42" s="1"/>
  <c r="F22" i="13"/>
  <c r="H7" i="42" s="1"/>
  <c r="I7" i="42" s="1"/>
  <c r="AG7" i="42" s="1"/>
  <c r="F28" i="13"/>
  <c r="F19" i="13"/>
  <c r="D35" i="13"/>
  <c r="F32" i="13"/>
  <c r="H17" i="42" s="1"/>
  <c r="I17" i="42" s="1"/>
  <c r="AG17" i="42" s="1"/>
  <c r="F27" i="13"/>
  <c r="H12" i="42" s="1"/>
  <c r="I12" i="42" s="1"/>
  <c r="AG12" i="42" s="1"/>
  <c r="E35" i="13"/>
  <c r="F35" i="12"/>
  <c r="N20" i="42"/>
  <c r="E20" i="42"/>
  <c r="F25" i="10"/>
  <c r="F34" i="10"/>
  <c r="F26" i="10"/>
  <c r="F22" i="10"/>
  <c r="F24" i="10"/>
  <c r="F20" i="10"/>
  <c r="F30" i="10"/>
  <c r="F33" i="10"/>
  <c r="F28" i="10"/>
  <c r="F27" i="10"/>
  <c r="F29" i="10"/>
  <c r="F21" i="10"/>
  <c r="F31" i="10"/>
  <c r="F23" i="10"/>
  <c r="F32" i="10"/>
  <c r="F36" i="9"/>
  <c r="D4" i="42"/>
  <c r="X20" i="42"/>
  <c r="F20" i="42" l="1"/>
  <c r="F31" i="11"/>
  <c r="F27" i="11"/>
  <c r="F24" i="11"/>
  <c r="F29" i="11"/>
  <c r="F21" i="11"/>
  <c r="F28" i="11"/>
  <c r="F25" i="11"/>
  <c r="F32" i="11"/>
  <c r="F34" i="11"/>
  <c r="F23" i="11"/>
  <c r="F26" i="11"/>
  <c r="F33" i="11"/>
  <c r="F20" i="11"/>
  <c r="F22" i="11"/>
  <c r="F30" i="11"/>
  <c r="H4" i="42"/>
  <c r="I4" i="42" s="1"/>
  <c r="AG4" i="42" s="1"/>
  <c r="F35" i="13"/>
  <c r="G19" i="13" s="1"/>
  <c r="H13" i="42"/>
  <c r="I13" i="42" s="1"/>
  <c r="AG13" i="42" s="1"/>
  <c r="F35" i="10"/>
  <c r="F35" i="11" l="1"/>
  <c r="G32" i="13"/>
  <c r="G30" i="13"/>
  <c r="G27" i="13"/>
  <c r="G25" i="13"/>
  <c r="G34" i="13"/>
  <c r="G22" i="13"/>
  <c r="G21" i="13"/>
  <c r="G31" i="13"/>
  <c r="G24" i="13"/>
  <c r="H20" i="42"/>
  <c r="G26" i="13"/>
  <c r="G29" i="13"/>
  <c r="G23" i="13"/>
  <c r="G20" i="13"/>
  <c r="G33" i="13"/>
  <c r="G28" i="13"/>
  <c r="I20" i="42"/>
  <c r="AG20" i="42"/>
  <c r="AH4" i="42" s="1"/>
  <c r="G35" i="13" l="1"/>
  <c r="J4" i="42"/>
  <c r="AH13" i="42"/>
  <c r="AH19" i="42"/>
  <c r="AH15" i="42"/>
  <c r="AH17" i="42"/>
  <c r="AH11" i="42"/>
  <c r="AH16" i="42"/>
  <c r="AH12" i="42"/>
  <c r="AH18" i="42"/>
  <c r="AH6" i="42"/>
  <c r="AH7" i="42"/>
  <c r="AH8" i="42"/>
  <c r="AH9" i="42"/>
  <c r="AH14" i="42"/>
  <c r="AH5" i="42"/>
  <c r="AH10" i="42"/>
  <c r="J8" i="42"/>
  <c r="J6" i="42"/>
  <c r="J14" i="42"/>
  <c r="J19" i="42"/>
  <c r="J9" i="42"/>
  <c r="J11" i="42"/>
  <c r="J10" i="42"/>
  <c r="J16" i="42"/>
  <c r="J18" i="42"/>
  <c r="J17" i="42"/>
  <c r="J5" i="42"/>
  <c r="J12" i="42"/>
  <c r="J13" i="42"/>
  <c r="J7" i="42"/>
  <c r="J15" i="42"/>
  <c r="AH20" i="42" l="1"/>
  <c r="J20"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DHS-OIS-NDS</author>
    <author>BUEDEFELDT Rhonda</author>
    <author>Stuivenga Brenda S</author>
  </authors>
  <commentList>
    <comment ref="H5" authorId="0" shapeId="0" xr:uid="{00000000-0006-0000-0300-000001000000}">
      <text>
        <r>
          <rPr>
            <b/>
            <sz val="8"/>
            <color indexed="81"/>
            <rFont val="Tahoma"/>
            <family val="2"/>
          </rPr>
          <t>Author of this comment is unknown:  Does not include $71,615 balance carried forward from previous years that was distributed to counties in addition to the award letters</t>
        </r>
      </text>
    </comment>
    <comment ref="H8" authorId="1" shapeId="0" xr:uid="{00000000-0006-0000-0300-000002000000}">
      <text>
        <r>
          <rPr>
            <b/>
            <sz val="9"/>
            <color indexed="81"/>
            <rFont val="Tahoma"/>
            <family val="2"/>
          </rPr>
          <t>RSB:  Disbursed using FFY 2014 SPR Certified NSIP #'s</t>
        </r>
        <r>
          <rPr>
            <sz val="9"/>
            <color indexed="81"/>
            <rFont val="Tahoma"/>
            <family val="2"/>
          </rPr>
          <t xml:space="preserve">
</t>
        </r>
      </text>
    </comment>
    <comment ref="K16" authorId="2" shapeId="0" xr:uid="{8F743464-997C-4C49-9758-F67606F04A26}">
      <text>
        <r>
          <rPr>
            <b/>
            <sz val="9"/>
            <color indexed="81"/>
            <rFont val="Tahoma"/>
            <family val="2"/>
          </rPr>
          <t>Stuivenga Brenda
Biennial full amount;per Rodney allocate 1 year amount.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Stuivenga Brenda S</author>
  </authors>
  <commentList>
    <comment ref="AE9" authorId="0" shapeId="0" xr:uid="{70786E92-D54F-4CC8-928A-FF042F81EDF6}">
      <text>
        <r>
          <rPr>
            <b/>
            <sz val="9"/>
            <color indexed="81"/>
            <rFont val="Tahoma"/>
            <family val="2"/>
          </rPr>
          <t>Stuivenga Brenda S:</t>
        </r>
        <r>
          <rPr>
            <sz val="9"/>
            <color indexed="81"/>
            <rFont val="Tahoma"/>
            <family val="2"/>
          </rPr>
          <t xml:space="preserve">
Per Nate Singer</t>
        </r>
      </text>
    </comment>
    <comment ref="AE17" authorId="0" shapeId="0" xr:uid="{6CDA3799-681A-49F6-8510-4D0012C01B8A}">
      <text>
        <r>
          <rPr>
            <b/>
            <sz val="9"/>
            <color indexed="81"/>
            <rFont val="Tahoma"/>
            <family val="2"/>
          </rPr>
          <t>Stuivenga Brenda S:</t>
        </r>
        <r>
          <rPr>
            <sz val="9"/>
            <color indexed="81"/>
            <rFont val="Tahoma"/>
            <family val="2"/>
          </rPr>
          <t xml:space="preserve">
Per Nate Singer</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<sst xmlns="http://schemas.openxmlformats.org/spreadsheetml/2006/main" count="1583" uniqueCount="564">
  <si>
    <t>AAA District</t>
  </si>
  <si>
    <t xml:space="preserve">  1 NWSDS</t>
  </si>
  <si>
    <t xml:space="preserve">  2 Clackamas</t>
  </si>
  <si>
    <t xml:space="preserve">  2 Columbia</t>
  </si>
  <si>
    <t xml:space="preserve">  2 Multnomah</t>
  </si>
  <si>
    <t xml:space="preserve">  2 Washington</t>
  </si>
  <si>
    <t xml:space="preserve">  4 Or Cascades West</t>
  </si>
  <si>
    <t xml:space="preserve">  5 Lane</t>
  </si>
  <si>
    <t xml:space="preserve">  6 Douglas</t>
  </si>
  <si>
    <t xml:space="preserve">  7 Coos-Curry</t>
  </si>
  <si>
    <t xml:space="preserve">  8 Rogue Valley</t>
  </si>
  <si>
    <t xml:space="preserve">  9 Mid-Columbia</t>
  </si>
  <si>
    <t>10 Central Oregon</t>
  </si>
  <si>
    <t>11 Klamath Basin</t>
  </si>
  <si>
    <t>13 Community Connection</t>
  </si>
  <si>
    <t>14 Harney</t>
  </si>
  <si>
    <t>14 Malheur</t>
  </si>
  <si>
    <t>% of Land</t>
  </si>
  <si>
    <t>Land area Sq. miles</t>
  </si>
  <si>
    <t>Totals</t>
  </si>
  <si>
    <t>% of Total Population</t>
  </si>
  <si>
    <t>For Family Caregiver</t>
  </si>
  <si>
    <t>Total Allocation</t>
  </si>
  <si>
    <t xml:space="preserve">  Subtotal</t>
  </si>
  <si>
    <t>Fund Admin  Allocation</t>
  </si>
  <si>
    <t>FFY2015</t>
  </si>
  <si>
    <t>Factor</t>
  </si>
  <si>
    <t>III-B Base Allocation</t>
  </si>
  <si>
    <t>Allocation by Land Area</t>
  </si>
  <si>
    <t xml:space="preserve">  Total Allocation</t>
  </si>
  <si>
    <t>Title III B Support Services</t>
  </si>
  <si>
    <t>Title III C-1 Congregate Meals</t>
  </si>
  <si>
    <t>Title III C-2 Home Delivered Meals</t>
  </si>
  <si>
    <t>Title III D Preventive Health</t>
  </si>
  <si>
    <t>Title III E Caregiver Support</t>
  </si>
  <si>
    <t>Elder Abuse Prevention Training</t>
  </si>
  <si>
    <t>Base Allocation</t>
  </si>
  <si>
    <t>Allocation by Population</t>
  </si>
  <si>
    <t>III C-1</t>
  </si>
  <si>
    <t>III C-2</t>
  </si>
  <si>
    <t>III D</t>
  </si>
  <si>
    <t>III E</t>
  </si>
  <si>
    <t>VII B</t>
  </si>
  <si>
    <t>Total</t>
  </si>
  <si>
    <t>Title VII A Ombudsman Activity</t>
  </si>
  <si>
    <t>Annual Allocations</t>
  </si>
  <si>
    <t>IIIB</t>
  </si>
  <si>
    <t>Total OAA</t>
  </si>
  <si>
    <t>NSIP</t>
  </si>
  <si>
    <t>SUA Admin.</t>
  </si>
  <si>
    <t>VII EAP</t>
  </si>
  <si>
    <t>Total Award</t>
  </si>
  <si>
    <t>Biennial Allocations</t>
  </si>
  <si>
    <t>2009-2011</t>
  </si>
  <si>
    <t>2011-2013</t>
  </si>
  <si>
    <t>2013-2015</t>
  </si>
  <si>
    <t>III B</t>
  </si>
  <si>
    <t>12 CAPECO</t>
  </si>
  <si>
    <t>AAA</t>
  </si>
  <si>
    <t>NWSDS</t>
  </si>
  <si>
    <t>CCSS</t>
  </si>
  <si>
    <t>CAT</t>
  </si>
  <si>
    <t>MCADS</t>
  </si>
  <si>
    <t>WCDAVS</t>
  </si>
  <si>
    <t>OCWCOG</t>
  </si>
  <si>
    <t>LCOG</t>
  </si>
  <si>
    <t>DCSDS</t>
  </si>
  <si>
    <t>SCBEC</t>
  </si>
  <si>
    <t>RVCOG</t>
  </si>
  <si>
    <t>MCCOG</t>
  </si>
  <si>
    <t>COCOA</t>
  </si>
  <si>
    <t>KLCCOA</t>
  </si>
  <si>
    <t>CAPECO</t>
  </si>
  <si>
    <t>CCNO</t>
  </si>
  <si>
    <t>HCSCS</t>
  </si>
  <si>
    <t>MCOACS</t>
  </si>
  <si>
    <t>Allocation by Meals (based on number of meals served in prior year)</t>
  </si>
  <si>
    <t>% of Meals Served</t>
  </si>
  <si>
    <t>Title VII-B Base Allocation</t>
  </si>
  <si>
    <t>III-E Base Allocation</t>
  </si>
  <si>
    <t>III-D Base Allocation ($1,500/year)</t>
  </si>
  <si>
    <t>G-J+M+N</t>
  </si>
  <si>
    <t>60-64
Population</t>
  </si>
  <si>
    <t>65-69
Population</t>
  </si>
  <si>
    <t>70-74
Population</t>
  </si>
  <si>
    <t>75-79
Population</t>
  </si>
  <si>
    <t>80-84
Population</t>
  </si>
  <si>
    <t>85+
Population</t>
  </si>
  <si>
    <t>Total 60+
Population</t>
  </si>
  <si>
    <t>75+
Population</t>
  </si>
  <si>
    <t>District</t>
  </si>
  <si>
    <t>County</t>
  </si>
  <si>
    <t>NW</t>
  </si>
  <si>
    <t>Clatsop</t>
  </si>
  <si>
    <t>Marion</t>
  </si>
  <si>
    <t>Polk</t>
  </si>
  <si>
    <t>Tillamook</t>
  </si>
  <si>
    <t>Yamhill</t>
  </si>
  <si>
    <t>AAA total</t>
  </si>
  <si>
    <t>Clack</t>
  </si>
  <si>
    <t>Clackamas</t>
  </si>
  <si>
    <t>Colu</t>
  </si>
  <si>
    <t>Columbia</t>
  </si>
  <si>
    <t>Mult</t>
  </si>
  <si>
    <t>Multnomah</t>
  </si>
  <si>
    <t>Wash</t>
  </si>
  <si>
    <t>Washington</t>
  </si>
  <si>
    <t>OCW</t>
  </si>
  <si>
    <t>Benton</t>
  </si>
  <si>
    <t>Lincoln</t>
  </si>
  <si>
    <t>Linn</t>
  </si>
  <si>
    <t>Lane</t>
  </si>
  <si>
    <t>Doug</t>
  </si>
  <si>
    <t>Douglas</t>
  </si>
  <si>
    <t>Coos</t>
  </si>
  <si>
    <t>Curry</t>
  </si>
  <si>
    <t>Roug</t>
  </si>
  <si>
    <t>Jackson</t>
  </si>
  <si>
    <t>Josephine</t>
  </si>
  <si>
    <t>MidC</t>
  </si>
  <si>
    <t>Gilliam</t>
  </si>
  <si>
    <t>Hood River</t>
  </si>
  <si>
    <t>Sherman</t>
  </si>
  <si>
    <t>Wasco</t>
  </si>
  <si>
    <t>Wheeler</t>
  </si>
  <si>
    <t>Cent</t>
  </si>
  <si>
    <t>Crook</t>
  </si>
  <si>
    <t>Deschutes</t>
  </si>
  <si>
    <t>Jefferson</t>
  </si>
  <si>
    <t>Klam</t>
  </si>
  <si>
    <t>Klamath</t>
  </si>
  <si>
    <t>Lake</t>
  </si>
  <si>
    <t>CAPCO</t>
  </si>
  <si>
    <t>Morrow</t>
  </si>
  <si>
    <t>Umatilla</t>
  </si>
  <si>
    <t>ComCe</t>
  </si>
  <si>
    <t>Baker</t>
  </si>
  <si>
    <t>Grant</t>
  </si>
  <si>
    <t>Union</t>
  </si>
  <si>
    <t>Wallowa</t>
  </si>
  <si>
    <t>Harn</t>
  </si>
  <si>
    <t>Harney</t>
  </si>
  <si>
    <t>Malh</t>
  </si>
  <si>
    <t>Malheur</t>
  </si>
  <si>
    <t>Order of Allocation:</t>
  </si>
  <si>
    <t xml:space="preserve">  Total LTC Ombudsman</t>
  </si>
  <si>
    <t>VII Ombudsman</t>
  </si>
  <si>
    <t>2017 Award (Federal Fiscal Year 2017)</t>
  </si>
  <si>
    <t xml:space="preserve">     Table 9.  Population Estimates by Age and Sex for Oregon and Its Counties: July 1, 2014</t>
  </si>
  <si>
    <t>65+
Minority
Population
2010 U.S. Census</t>
  </si>
  <si>
    <t>Minority 65+ Population</t>
  </si>
  <si>
    <t>With the assumption the definition of "Minority" includes all individuals who identified as Black, American Indian/Alaska Native, Pacific Islander/Native Hawaiian, Asian, Some other race, 2+ races, or Hispanic.</t>
  </si>
  <si>
    <t>Poverty Status in Oregon by Age and by County</t>
  </si>
  <si>
    <t>Survey: American Community Survey</t>
  </si>
  <si>
    <t>From the U.S. Census Bureau American FactFinder</t>
  </si>
  <si>
    <t>Table used: S1701: Poverty Status in the Past 12 Months</t>
  </si>
  <si>
    <t>http://factfinder2.census.gov/faces/tableservices/jsf/pages/productview.xhtml?pid=ACS_10_5YR_S1701&amp;prodType=table</t>
  </si>
  <si>
    <t xml:space="preserve">The ACS provides 2011; 1-year estimate updates for Benton, Clackamas, Deschutes, Douglas, Jackson, Josephine, Klamath, Lane, Linn, Marion, Multnomah, Polk, Umatilla, Washington, and Yamhill. </t>
  </si>
  <si>
    <t>Sources:</t>
  </si>
  <si>
    <t>Minority Population from the 2010 U.S. Census SF1 dataset</t>
  </si>
  <si>
    <t>Population Age categories are provided by the Population Research Center at Portland State University (PSU)</t>
  </si>
  <si>
    <t>You can access this information via the web.  Address is listed below:</t>
  </si>
  <si>
    <t>Table 9 is used to populate the data for ages 60-64, 65-69, 70-74, 75-79, 80-84 and 85+</t>
  </si>
  <si>
    <t>Total
Population</t>
  </si>
  <si>
    <t>FFY2017</t>
  </si>
  <si>
    <t>Abuse Prevention and Awareness Funds (Federal Fiscal Year 2017)</t>
  </si>
  <si>
    <t xml:space="preserve">  Subtotal Abuse Prevention and Awareness</t>
  </si>
  <si>
    <t>All other tabs are not editable and populated by formula.</t>
  </si>
  <si>
    <t>Population Data tab</t>
  </si>
  <si>
    <t>DCSSD</t>
  </si>
  <si>
    <t>Waivered
XIX</t>
  </si>
  <si>
    <t>Non-Waivered
XIX</t>
  </si>
  <si>
    <t>XIX 
Local Match</t>
  </si>
  <si>
    <t>TOTAL</t>
  </si>
  <si>
    <t>15% Req.
Match</t>
  </si>
  <si>
    <t>Title III funds (As per OAA 703(a)(2)(C)(ii) equal to FFY 2000 allocation)</t>
  </si>
  <si>
    <t>Notes:</t>
  </si>
  <si>
    <t>SPA
EB Activities</t>
  </si>
  <si>
    <t>MCADVSD</t>
  </si>
  <si>
    <r>
      <rPr>
        <b/>
        <sz val="11"/>
        <color theme="1"/>
        <rFont val="Calibri"/>
        <family val="2"/>
        <scheme val="minor"/>
      </rPr>
      <t>2.</t>
    </r>
    <r>
      <rPr>
        <sz val="11"/>
        <color theme="1"/>
        <rFont val="Calibri"/>
        <family val="2"/>
        <scheme val="minor"/>
      </rPr>
      <t xml:space="preserve">  Update "Population Data" worksheet; caution to maintain cell positions as they are being referenced in other worksheets</t>
    </r>
  </si>
  <si>
    <t>ADRC Region</t>
  </si>
  <si>
    <t>Metro</t>
  </si>
  <si>
    <t>TOTALS</t>
  </si>
  <si>
    <t>Mid-Valley</t>
  </si>
  <si>
    <t>Central OR</t>
  </si>
  <si>
    <t>Southern OR</t>
  </si>
  <si>
    <t>Northwestern OR</t>
  </si>
  <si>
    <t>South Coast</t>
  </si>
  <si>
    <t>Eastern OR</t>
  </si>
  <si>
    <t>Land
Area
Sq. Mi</t>
  </si>
  <si>
    <t>65+
Poverty
Pop</t>
  </si>
  <si>
    <t>Base
Allocation</t>
  </si>
  <si>
    <t>Hand-entered
origin not
known</t>
  </si>
  <si>
    <t>Row 49, Columns O minus E plus P:</t>
  </si>
  <si>
    <t>Columns E-J</t>
  </si>
  <si>
    <t>Columns H-J</t>
  </si>
  <si>
    <t>Columns K-N</t>
  </si>
  <si>
    <t>Columns F-J
w/various unknown
multipliers</t>
  </si>
  <si>
    <t>Nutrition
Services
Incentive
Program</t>
  </si>
  <si>
    <t>SPA
Seq. Mitigat.</t>
  </si>
  <si>
    <t>OPI
19-59
Population</t>
  </si>
  <si>
    <t>OPI
60+ Population</t>
  </si>
  <si>
    <t>Allocation by % of Total AAA District
Land Area</t>
  </si>
  <si>
    <t>Allocation by % of Total AAA District Population</t>
  </si>
  <si>
    <t>Percent of Allocation Received</t>
  </si>
  <si>
    <t>Allocation by % of Total District Meals Served</t>
  </si>
  <si>
    <t>Total Sequestration Mitigation
Allocation</t>
  </si>
  <si>
    <t>Total 
NSIP
Allocation</t>
  </si>
  <si>
    <t>Total OPI Services to 60+, Alz/Dem
Allocation</t>
  </si>
  <si>
    <t>Total 
OPI 
19-59 Services
Allocation</t>
  </si>
  <si>
    <t>Percent of Allocation
Received</t>
  </si>
  <si>
    <t>Percent 
of 
Allocation Received</t>
  </si>
  <si>
    <t>For OPI 19-59 years of age</t>
  </si>
  <si>
    <t xml:space="preserve"> </t>
  </si>
  <si>
    <t>Percent
 of
Allocation</t>
  </si>
  <si>
    <t>L+M+N</t>
  </si>
  <si>
    <t>75+
65+Min
65+ Pov</t>
  </si>
  <si>
    <t>($3k base/zero land/100% population (IID methodology used))</t>
  </si>
  <si>
    <t>Special Purpose Appropriation (SPA) 
Continued Evidence-Based funding
(OAA Title IIID IFF (base/pop) methodology used)</t>
  </si>
  <si>
    <t>Special Purpose Appropriation (SPA) Continued OAA Sequestration Mitigation
(Disbursement methodology used - 
AAA Percentage of Total OAA allocation)</t>
  </si>
  <si>
    <t>For Title IIID &amp; SPA Evidence-Based</t>
  </si>
  <si>
    <t>MCADVDS</t>
  </si>
  <si>
    <r>
      <rPr>
        <b/>
        <sz val="14"/>
        <color theme="1"/>
        <rFont val="Calibri"/>
        <family val="2"/>
        <scheme val="minor"/>
      </rPr>
      <t>Subtotal</t>
    </r>
    <r>
      <rPr>
        <sz val="14"/>
        <color theme="1"/>
        <rFont val="Calibri"/>
        <family val="2"/>
        <scheme val="minor"/>
      </rPr>
      <t xml:space="preserve"> </t>
    </r>
  </si>
  <si>
    <t>VIIB</t>
  </si>
  <si>
    <t>% of 
ALL FUNDs
Allocated</t>
  </si>
  <si>
    <t>% 
of 
Land</t>
  </si>
  <si>
    <t>Applicable
Population</t>
  </si>
  <si>
    <t>%
of
Population</t>
  </si>
  <si>
    <t>Applicable Population</t>
  </si>
  <si>
    <t>% 
of
Population</t>
  </si>
  <si>
    <t>District
Land Mass 
(Sq. Miles)</t>
  </si>
  <si>
    <t>Total IIIB Support Services
Allocation</t>
  </si>
  <si>
    <t>Total IIID Health Promotion
Allocation</t>
  </si>
  <si>
    <t>Total IIIE Caregiver Services
Allocation</t>
  </si>
  <si>
    <t>Total VIIB Abuse Prevention/Neglect/
Exploitation Prevention
Allocation</t>
  </si>
  <si>
    <t>Total Evidence-Based SPA
Allocation</t>
  </si>
  <si>
    <t>VIIA Ombudsman</t>
  </si>
  <si>
    <t>SUA 
admin
funds
provided
to AAAs
for IS/IT</t>
  </si>
  <si>
    <t>%
of 
OPI
Alloc.</t>
  </si>
  <si>
    <t>Subtotal
of 
OAA
Titles</t>
  </si>
  <si>
    <t>%
of
OAA 
Funds</t>
  </si>
  <si>
    <t>% 
of 
NSIP Funds</t>
  </si>
  <si>
    <t>Continued
Seq. Mitig.
SPA
Funds</t>
  </si>
  <si>
    <t>%
of 
SPA Funds</t>
  </si>
  <si>
    <t>Continued
EB
SPA
Funds</t>
  </si>
  <si>
    <t>%
of 
EB
SPA Funds</t>
  </si>
  <si>
    <t>% of 
OPI
19-59 Funds</t>
  </si>
  <si>
    <t>Total
OPI
(Services
to 19-59)
Funds</t>
  </si>
  <si>
    <r>
      <rPr>
        <b/>
        <sz val="14"/>
        <color theme="1"/>
        <rFont val="Calibri"/>
        <family val="2"/>
        <scheme val="minor"/>
      </rPr>
      <t>Population Formula 1 (IIIB, IIIC-1, IIIC-2, VIIB, and OPI)</t>
    </r>
    <r>
      <rPr>
        <sz val="14"/>
        <color theme="1"/>
        <rFont val="Calibri"/>
        <family val="2"/>
        <scheme val="minor"/>
      </rPr>
      <t xml:space="preserve">:  a) population 60 years and older, plus b) population 75 years and older, plus c) minority population 65 years and older, plus d) poverty population 65 years and older with incomes below 125% of federal poverty level. 
</t>
    </r>
    <r>
      <rPr>
        <b/>
        <sz val="14"/>
        <color theme="1"/>
        <rFont val="Calibri"/>
        <family val="2"/>
        <scheme val="minor"/>
      </rPr>
      <t>Population Formula 2 (IIID)</t>
    </r>
    <r>
      <rPr>
        <sz val="14"/>
        <color theme="1"/>
        <rFont val="Calibri"/>
        <family val="2"/>
        <scheme val="minor"/>
      </rPr>
      <t xml:space="preserve">:  a) population 75 years and older, plus b) minority population 65 years and older, plus c) poverty population 65 years and older with incomes below 125% of federal poverty level.
</t>
    </r>
    <r>
      <rPr>
        <b/>
        <sz val="14"/>
        <color theme="1"/>
        <rFont val="Calibri"/>
        <family val="2"/>
        <scheme val="minor"/>
      </rPr>
      <t>Population Formula 3 (IIIE):</t>
    </r>
    <r>
      <rPr>
        <sz val="14"/>
        <color theme="1"/>
        <rFont val="Calibri"/>
        <family val="2"/>
        <scheme val="minor"/>
      </rPr>
      <t xml:space="preserve"> a) population 70 years and older, plus b) minority population 65 years and older, plus c) poverty population 65 years and older with incomes below 125% of federal poverty level.</t>
    </r>
  </si>
  <si>
    <t>N/A</t>
  </si>
  <si>
    <t>IIIB Ombudsman</t>
  </si>
  <si>
    <t>For Title IIIB, IIIC1/2, VIIB, OPI &amp; SPA</t>
  </si>
  <si>
    <r>
      <rPr>
        <b/>
        <sz val="11"/>
        <color theme="1"/>
        <rFont val="Calibri"/>
        <family val="2"/>
        <scheme val="minor"/>
      </rPr>
      <t>1.</t>
    </r>
    <r>
      <rPr>
        <sz val="11"/>
        <color theme="1"/>
        <rFont val="Calibri"/>
        <family val="2"/>
        <scheme val="minor"/>
      </rPr>
      <t xml:space="preserve"> </t>
    </r>
    <r>
      <rPr>
        <b/>
        <sz val="11"/>
        <color theme="1"/>
        <rFont val="Calibri"/>
        <family val="2"/>
        <scheme val="minor"/>
      </rPr>
      <t>OPI:</t>
    </r>
    <r>
      <rPr>
        <sz val="11"/>
        <color theme="1"/>
        <rFont val="Calibri"/>
        <family val="2"/>
        <scheme val="minor"/>
      </rPr>
      <t xml:space="preserve">  SUA may choose to keep 10% of OPI allocation for administrative purposes, however, historically have never done so.  (Worksheet does not include 10% formula to retain admin.)</t>
    </r>
  </si>
  <si>
    <r>
      <rPr>
        <b/>
        <sz val="11"/>
        <color theme="1"/>
        <rFont val="Calibri"/>
        <family val="2"/>
        <scheme val="minor"/>
      </rPr>
      <t>2.</t>
    </r>
    <r>
      <rPr>
        <sz val="11"/>
        <color theme="1"/>
        <rFont val="Calibri"/>
        <family val="2"/>
        <scheme val="minor"/>
      </rPr>
      <t xml:space="preserve"> </t>
    </r>
    <r>
      <rPr>
        <b/>
        <sz val="11"/>
        <color theme="1"/>
        <rFont val="Calibri"/>
        <family val="2"/>
        <scheme val="minor"/>
      </rPr>
      <t xml:space="preserve">NSIP </t>
    </r>
    <r>
      <rPr>
        <sz val="11"/>
        <color theme="1"/>
        <rFont val="Calibri"/>
        <family val="2"/>
        <scheme val="minor"/>
      </rPr>
      <t>distribution is based upon the number of prior years NSIP-eligible meals certified in the SPR</t>
    </r>
  </si>
  <si>
    <r>
      <rPr>
        <b/>
        <sz val="11"/>
        <color theme="1"/>
        <rFont val="Calibri"/>
        <family val="2"/>
        <scheme val="minor"/>
      </rPr>
      <t>4.</t>
    </r>
    <r>
      <rPr>
        <sz val="11"/>
        <color theme="1"/>
        <rFont val="Calibri"/>
        <family val="2"/>
        <scheme val="minor"/>
      </rPr>
      <t xml:space="preserve">  </t>
    </r>
    <r>
      <rPr>
        <b/>
        <sz val="11"/>
        <color theme="1"/>
        <rFont val="Calibri"/>
        <family val="2"/>
        <scheme val="minor"/>
      </rPr>
      <t>Title VIIB</t>
    </r>
    <r>
      <rPr>
        <sz val="11"/>
        <color theme="1"/>
        <rFont val="Calibri"/>
        <family val="2"/>
        <scheme val="minor"/>
      </rPr>
      <t xml:space="preserve"> is not required by federal law to be allocated to the AAAs through the Interstate Funding Formula. SUA recommends a workgroup be formed to summarize how Title VIIB funds are currently utilized and develop a set of recommendations for use of the funds both using the IFF and not using the IFF. </t>
    </r>
  </si>
  <si>
    <r>
      <t xml:space="preserve">Nutrition Services Incentive Program (NSIP)
</t>
    </r>
    <r>
      <rPr>
        <b/>
        <sz val="11"/>
        <color theme="1"/>
        <rFont val="Arial Narrow"/>
        <family val="2"/>
      </rPr>
      <t>NSIP is not eligible for carry-forward and should always be fully expended.
Four AAAs failed to do this; funds will be disbursed to all 17 AAAs.</t>
    </r>
  </si>
  <si>
    <t>Total
to
Distribute</t>
  </si>
  <si>
    <t>Fiscal
Report
Rcvd?</t>
  </si>
  <si>
    <t>OAA 
Title 
III-B</t>
  </si>
  <si>
    <t>OAA 
Title 
III-C1</t>
  </si>
  <si>
    <t>OAA 
Title 
III-C2</t>
  </si>
  <si>
    <t>OAA 
Title 
III-D</t>
  </si>
  <si>
    <t>OAA 
Title 
III-E</t>
  </si>
  <si>
    <t>OAA 
Title 
VII-B</t>
  </si>
  <si>
    <t>√</t>
  </si>
  <si>
    <r>
      <rPr>
        <b/>
        <sz val="11"/>
        <color theme="1"/>
        <rFont val="Calibri"/>
        <family val="2"/>
        <scheme val="minor"/>
      </rPr>
      <t>3.</t>
    </r>
    <r>
      <rPr>
        <sz val="11"/>
        <color theme="1"/>
        <rFont val="Calibri"/>
        <family val="2"/>
        <scheme val="minor"/>
      </rPr>
      <t xml:space="preserve"> </t>
    </r>
    <r>
      <rPr>
        <b/>
        <sz val="11"/>
        <color theme="1"/>
        <rFont val="Calibri"/>
        <family val="2"/>
        <scheme val="minor"/>
      </rPr>
      <t>Evidence-based</t>
    </r>
    <r>
      <rPr>
        <sz val="11"/>
        <color theme="1"/>
        <rFont val="Calibri"/>
        <family val="2"/>
        <scheme val="minor"/>
      </rPr>
      <t xml:space="preserve"> SPA funding - 2015-2017:  10K withheld for administrative purposes.  Funds distributed using AAA's total percentage of OAA funds received.  OAA Title IIID methodology of $3K base and 100% population.  </t>
    </r>
    <r>
      <rPr>
        <sz val="11"/>
        <color rgb="FFFF0000"/>
        <rFont val="Calibri"/>
        <family val="2"/>
        <scheme val="minor"/>
      </rPr>
      <t xml:space="preserve">Should these funds be Legislatively appropriated for 17-19 biennium; SUA should encourage Ashley and Mike to discuss with O4AD, SUA's intent of withholding 5-10% for SUA administrative purposes. </t>
    </r>
  </si>
  <si>
    <r>
      <rPr>
        <b/>
        <sz val="11"/>
        <color theme="1"/>
        <rFont val="Calibri"/>
        <family val="2"/>
        <scheme val="minor"/>
      </rPr>
      <t>1</t>
    </r>
    <r>
      <rPr>
        <sz val="11"/>
        <color theme="1"/>
        <rFont val="Calibri"/>
        <family val="2"/>
        <scheme val="minor"/>
      </rPr>
      <t>.  Update "4. AwardHistory&amp;Projections" worksheet, cells B2:I9, with current year Grant Allocation amounts received</t>
    </r>
  </si>
  <si>
    <t>Oregon Land area in square miles, 2010 by County</t>
  </si>
  <si>
    <t>Home &gt; United States &gt; Oregon</t>
  </si>
  <si>
    <t>Embed this in your blog</t>
  </si>
  <si>
    <t>Preview</t>
  </si>
  <si>
    <t>   ShareThis</t>
  </si>
  <si>
    <r>
      <t>About this application:</t>
    </r>
    <r>
      <rPr>
        <sz val="8.25"/>
        <color theme="1"/>
        <rFont val="Verdana"/>
        <family val="2"/>
      </rPr>
      <t xml:space="preserve"> This application provides summary profiles showing frequently requested data items from various US Census Bureau programs. Profiles are available for the nation, states, and counties.</t>
    </r>
  </si>
  <si>
    <t>Recommended:</t>
  </si>
  <si>
    <t>Compare states</t>
  </si>
  <si>
    <t>Compare counties</t>
  </si>
  <si>
    <t>Compare cities</t>
  </si>
  <si>
    <t>City rankings</t>
  </si>
  <si>
    <t>Data Item</t>
  </si>
  <si>
    <t>State</t>
  </si>
  <si>
    <t>Map</t>
  </si>
  <si>
    <t>Rank</t>
  </si>
  <si>
    <t>Table</t>
  </si>
  <si>
    <t>MapSquare Miles431 - 864864 - 1,7321,732 - 3,4703,470 - 6,9546,954 - 7,6407,640 - 8,3958,395 - 9,2239,223 - 10K</t>
  </si>
  <si>
    <t>Bar Chart with caption "Land area in square miles, 2010 (Square Miles)"HarneyMalheurLakeKlamathDouglasLaneGrantUmatillaWallowaBakerDeschutesCrookJacksonWascoLinnUnionMorrowClackamasJeffersonWheelerJosephineCurryCoosGilliamMarionTillamookLincolnClatsopShermanPolkWashingtonYamhillBentonColumbiaHood RiverMultnomah10,133.179,887.538,138.985,941.055,036.084,553.124,528.543,215.513,146.193,068.363,018.192,979.092,783.552,381.522,290.132,036.612,031.611,870.321,780.791,714.751,639.671,627.461,596.171,204.811,182.331,102.58979.77829.05823.69740.79724.23715.86675.94657.36521.95431.3Land area in square miles, 2010 (Square Miles)</t>
  </si>
  <si>
    <t>Land area in square miles, 2010 - (Square Miles)</t>
  </si>
  <si>
    <t>Value</t>
  </si>
  <si>
    <r>
      <t>Value for Oregon (Square Miles):</t>
    </r>
    <r>
      <rPr>
        <sz val="8.25"/>
        <color theme="1"/>
        <rFont val="Verdana"/>
        <family val="2"/>
      </rPr>
      <t xml:space="preserve"> 95,988.01</t>
    </r>
  </si>
  <si>
    <r>
      <t xml:space="preserve">Source: </t>
    </r>
    <r>
      <rPr>
        <sz val="8.25"/>
        <color theme="1"/>
        <rFont val="Verdana"/>
        <family val="2"/>
      </rPr>
      <t>U.S. Census Bureau, data file from Geography Division based on the TIGER/Geographic Identification Code Scheme (TIGER/GICS) computer file. Land area updated every 10 years. http://www.census.gov/geo/www/tiger/index.html or http://factfinder2.census.gov.</t>
    </r>
  </si>
  <si>
    <r>
      <t xml:space="preserve">Source: </t>
    </r>
    <r>
      <rPr>
        <sz val="8.25"/>
        <color theme="1"/>
        <rFont val="Verdana"/>
        <family val="2"/>
      </rPr>
      <t>U.S. Census Bureau, Census of Population and Housing. Land area is based on current information in the TIGER® data base, calculated for use with Census 2010.</t>
    </r>
  </si>
  <si>
    <t>Definitions:</t>
  </si>
  <si>
    <r>
      <t>Land area</t>
    </r>
    <r>
      <rPr>
        <sz val="8.25"/>
        <color theme="1"/>
        <rFont val="Verdana"/>
        <family val="2"/>
      </rPr>
      <t xml:space="preserve"> is the size, in square units (metric and nonmetric) of all areas designated as land in the Census Bureau's national geographic (TIGER®) database.</t>
    </r>
  </si>
  <si>
    <r>
      <t>Persons per square mile</t>
    </r>
    <r>
      <rPr>
        <sz val="8.25"/>
        <color theme="1"/>
        <rFont val="Verdana"/>
        <family val="2"/>
      </rPr>
      <t xml:space="preserve"> is the average number of inhabitants per square mile of land area. These figures are derived by dividing the total number of residents by the number of square miles of land area in the specified geographic area. The land area measurement is from the Census 2010. To determine population per square kilometer, multiply the population per square mile by .3861.</t>
    </r>
  </si>
  <si>
    <t>Scope and Methodology:</t>
  </si>
  <si>
    <t>TIGER is an acronym for the digital (computer-readable) geographic database that automates the mapping and related geographic activities required to support the Census Bureau's census and survey programs. The Census Bureau developed the Topologically Integrated Geographic Encoding and Referencing (TIGER) System to automate the geographic support processes needed to meet the major geographic needs of the 1990 census. Land area was calculated from the specific set of boundaries recorded for the entity (in this case, counties, which were then aggregated to metropolitan totals) in the Census Bureau's geographic database.</t>
  </si>
  <si>
    <t>Land area measurements are originally recorded as whole square meters (to convert square meters to square kilometers, divide by 1,000,000; to convert square kilometers to square miles, divide by 2.58999; to convert square meters to square miles, divide by 2,589,988).</t>
  </si>
  <si>
    <t>Land area measurements may disagree with the information displayed on U.S. Census Bureau maps and in the TIGER® database because, for area measurement purposes, features identified as "intermittent water" and "glacier" are reported as land area.</t>
  </si>
  <si>
    <t>The accuracy of any area measurement data is limited by the accuracy inherent in (1) the location and shape of the various boundary information in the TIGER® database and (2) rounding affecting the last digit in all operations that compute and/or sum the area measurements. Identification of land is for statistical purposes and does not necessarily reflect legal definitions.</t>
  </si>
  <si>
    <t xml:space="preserve">More Information: </t>
  </si>
  <si>
    <t>Density Using Land Area for States, Counties, Metropolitan Areas, and Places</t>
  </si>
  <si>
    <t>Gazetteer</t>
  </si>
  <si>
    <t>2018 Award (Federal Fiscal Year 2018)</t>
  </si>
  <si>
    <t>2019 Award (Federal Fiscal Year 2019)</t>
  </si>
  <si>
    <t>Abuse Prevention and Awareness Funds (Federal Fiscal Year 2018)</t>
  </si>
  <si>
    <t>Abuse Prevention and Awareness Funds (Federal Fiscal Year 2019)</t>
  </si>
  <si>
    <t>FFY2018</t>
  </si>
  <si>
    <t>FFY2019</t>
  </si>
  <si>
    <t>2017-2019 Portion</t>
  </si>
  <si>
    <t>2017-2019
Alloc</t>
  </si>
  <si>
    <t>update column n o p</t>
  </si>
  <si>
    <t>Final ARDS NWD grant to AAAs.</t>
  </si>
  <si>
    <t>SUA Admin Allocation</t>
  </si>
  <si>
    <t>Training</t>
  </si>
  <si>
    <t>2015-2017</t>
  </si>
  <si>
    <t>AGID</t>
  </si>
  <si>
    <t>Oregon 2011-2015 Table S21006 Ace by Race for the Population 60 +</t>
  </si>
  <si>
    <t>https://agid.acl.gov/DataGlance/SPR/Trend.aspx?geoids=39&amp;jvar=1687&amp;mode=Count&amp;agegroup=-1&amp;sex=0&amp;pop=0&amp;service=-1&amp;poverty=-1&amp;adl=-1&amp;iadl=-1</t>
  </si>
  <si>
    <t>OPI Corrected</t>
  </si>
  <si>
    <t>2017-2019</t>
  </si>
  <si>
    <t>2020 Award (Federal Fiscal Year 2020)</t>
  </si>
  <si>
    <t>2021 Award (Federal Fiscal Year 2021)</t>
  </si>
  <si>
    <t>Abuse Prevention and Awareness Funds (Federal Fiscal Year 2021)</t>
  </si>
  <si>
    <t>(Federal Fiscal Year 2019)</t>
  </si>
  <si>
    <t>(Federal Fiscal Year 2020)</t>
  </si>
  <si>
    <t xml:space="preserve"> (Federal Fiscal Year 2021)</t>
  </si>
  <si>
    <t>$529, 909 is what was issued for 2017-2019</t>
  </si>
  <si>
    <t>2017 Award (Federal Fiscal Year 2019)</t>
  </si>
  <si>
    <t>2018 Award (Federal Fiscal Year 2020)</t>
  </si>
  <si>
    <t>2019Award (Federal Fiscal Year 2021)</t>
  </si>
  <si>
    <t>Alloc</t>
  </si>
  <si>
    <t xml:space="preserve">          211,806 </t>
  </si>
  <si>
    <t xml:space="preserve">         52,952 </t>
  </si>
  <si>
    <t xml:space="preserve">                     52,952 </t>
  </si>
  <si>
    <t xml:space="preserve">     211,806 </t>
  </si>
  <si>
    <t xml:space="preserve">                  211,806 </t>
  </si>
  <si>
    <t xml:space="preserve">          221,806 </t>
  </si>
  <si>
    <t xml:space="preserve">                       166,355 </t>
  </si>
  <si>
    <t xml:space="preserve">                  166,355 </t>
  </si>
  <si>
    <t>  Subtotal</t>
  </si>
  <si>
    <t xml:space="preserve">     211,806 </t>
  </si>
  <si>
    <t xml:space="preserve">                       166,355 </t>
  </si>
  <si>
    <t xml:space="preserve">                  431,113 </t>
  </si>
  <si>
    <t>Fund Admin  Allocation</t>
  </si>
  <si>
    <t xml:space="preserve">                   -   </t>
  </si>
  <si>
    <t xml:space="preserve">                 -   </t>
  </si>
  <si>
    <t xml:space="preserve">                                   -   </t>
  </si>
  <si>
    <t xml:space="preserve">                               -   </t>
  </si>
  <si>
    <t xml:space="preserve">            56,914 </t>
  </si>
  <si>
    <t xml:space="preserve">         14,228 </t>
  </si>
  <si>
    <t xml:space="preserve">                     14,228 </t>
  </si>
  <si>
    <t xml:space="preserve">       56,914 </t>
  </si>
  <si>
    <t xml:space="preserve">                     56,914 </t>
  </si>
  <si>
    <t> (Federal Fiscal Year 2021)</t>
  </si>
  <si>
    <t xml:space="preserve">                         42,685 </t>
  </si>
  <si>
    <t xml:space="preserve">                     42,685 </t>
  </si>
  <si>
    <r>
      <t>Subtotal</t>
    </r>
    <r>
      <rPr>
        <sz val="14"/>
        <color rgb="FF000000"/>
        <rFont val="Calibri"/>
        <family val="2"/>
      </rPr>
      <t xml:space="preserve"> </t>
    </r>
  </si>
  <si>
    <t xml:space="preserve">       56,914 </t>
  </si>
  <si>
    <t xml:space="preserve">                         42,685 </t>
  </si>
  <si>
    <t xml:space="preserve">                  113,827 </t>
  </si>
  <si>
    <t xml:space="preserve">         67,180 </t>
  </si>
  <si>
    <t xml:space="preserve">     268,720 </t>
  </si>
  <si>
    <t xml:space="preserve">                       209,040 </t>
  </si>
  <si>
    <t xml:space="preserve">                  544,940 </t>
  </si>
  <si>
    <t>  Total LTC Ombudsman</t>
  </si>
  <si>
    <t xml:space="preserve">                  544,940 </t>
  </si>
  <si>
    <t xml:space="preserve"> 17-19 Adjustment </t>
  </si>
  <si>
    <t xml:space="preserve">                     28,624 </t>
  </si>
  <si>
    <t xml:space="preserve"> New 19-21 Total </t>
  </si>
  <si>
    <t xml:space="preserve">                  573,564 </t>
  </si>
  <si>
    <t>Update 17-19 Chart</t>
  </si>
  <si>
    <t>Original 17-19 Chart</t>
  </si>
  <si>
    <t>(Federal Fiscal Year 2017)</t>
  </si>
  <si>
    <t>(Federal Fiscal Year 2018)</t>
  </si>
  <si>
    <t xml:space="preserve"> (Federal Fiscal Year 2019)</t>
  </si>
  <si>
    <t>FFY2020</t>
  </si>
  <si>
    <t>FFY2021</t>
  </si>
  <si>
    <t xml:space="preserve">19-21 Total </t>
  </si>
  <si>
    <t>2019-2021
Alloc</t>
  </si>
  <si>
    <r>
      <rPr>
        <b/>
        <sz val="12"/>
        <color theme="1"/>
        <rFont val="Calibri"/>
        <family val="2"/>
        <scheme val="minor"/>
      </rPr>
      <t>Subtotal</t>
    </r>
    <r>
      <rPr>
        <sz val="12"/>
        <color theme="1"/>
        <rFont val="Calibri"/>
        <family val="2"/>
        <scheme val="minor"/>
      </rPr>
      <t xml:space="preserve"> </t>
    </r>
  </si>
  <si>
    <t xml:space="preserve">  Total LTC Ombudsman/CARES-COVID-19</t>
  </si>
  <si>
    <t>2019-2021</t>
  </si>
  <si>
    <t>Contract Number</t>
  </si>
  <si>
    <t>Prepared by Population Research center April 2020</t>
  </si>
  <si>
    <t>Table 9 - Population Estimates by Age &amp; Sex for Oregons and its Counties July 1, 2019</t>
  </si>
  <si>
    <t>Land
Area
Sq. Mi
(2010)</t>
  </si>
  <si>
    <t>Hand-entered (Oregon Land area in square miles, 2010 by County https://www.indexmundi.com/facts/united-states/quick-facts/oregon/land-area#table)</t>
  </si>
  <si>
    <t>FFY '20 Finals</t>
  </si>
  <si>
    <t>FFY '19 Finals</t>
  </si>
  <si>
    <t>Forecast-2023</t>
  </si>
  <si>
    <t>FFY2022</t>
  </si>
  <si>
    <t>FFY2023</t>
  </si>
  <si>
    <t>2021-2023 Portion</t>
  </si>
  <si>
    <t>2022 Award (Federal Fiscal Year 2022)</t>
  </si>
  <si>
    <t>2023 Award (Federal Fiscal Year 2023)</t>
  </si>
  <si>
    <t>Abuse Prevention and Awareness Funds (Federal Fiscal Year 2022)</t>
  </si>
  <si>
    <t>Abuse Prevention and Awareness Funds (Federal Fiscal Year 2023)</t>
  </si>
  <si>
    <t>https://www.pdx.edu/population-research/search/psu?keys=population%20report</t>
  </si>
  <si>
    <t>Click on 2020 Annual population report tables</t>
  </si>
  <si>
    <t>Population by age categories from PSU Population Research Center 2020 Annual Oregon Report (April 2021 Population Report)</t>
  </si>
  <si>
    <t>x</t>
  </si>
  <si>
    <t>Population by age categories from PSU Population Research Center 2020 (April 2021 Population Report)</t>
  </si>
  <si>
    <t>https://data.census.gov/cedsci/table?q=S1701&amp;g=0400000US41.050000&amp;tid=ACSST5Y2019.S1701&amp;hidePreview=true</t>
  </si>
  <si>
    <t xml:space="preserve">Poverty Status in Oregon (2019 5-Year Estimates), Table S1701 </t>
  </si>
  <si>
    <t>Data Set: 2020 American Community Survey 5-Year Estimates</t>
  </si>
  <si>
    <t>Nutrition Services Incentive Program (NSIP)
(Disbursal based on total NSIP-eligible meals
delivered during FY 2019</t>
  </si>
  <si>
    <t>AAA ADRC-NWD Allocation</t>
  </si>
  <si>
    <t>Total 
Allocation</t>
  </si>
  <si>
    <t>70+ &amp;
Minor
Econ
(2020 est)</t>
  </si>
  <si>
    <t>65+
Poverty
Population
(ACS 2020 est)</t>
  </si>
  <si>
    <t>65+
Minority Pop
2020 Census</t>
  </si>
  <si>
    <t>AAA Response</t>
  </si>
  <si>
    <t>"Get Care" System costs - $1,500 per month.</t>
  </si>
  <si>
    <t>Adjustments:</t>
  </si>
  <si>
    <t>Contract NTE Total:</t>
  </si>
  <si>
    <t>OFS Estimate</t>
  </si>
  <si>
    <t>Contract #</t>
  </si>
  <si>
    <t>Various</t>
  </si>
  <si>
    <t>50/50 GF/FF</t>
  </si>
  <si>
    <r>
      <rPr>
        <b/>
        <i/>
        <sz val="11"/>
        <color theme="1"/>
        <rFont val="Calibri"/>
        <family val="2"/>
        <scheme val="minor"/>
      </rPr>
      <t>(Estimated)</t>
    </r>
    <r>
      <rPr>
        <b/>
        <sz val="11"/>
        <color theme="1"/>
        <rFont val="Calibri"/>
        <family val="2"/>
        <scheme val="minor"/>
      </rPr>
      <t xml:space="preserve"> 2021-2023</t>
    </r>
  </si>
  <si>
    <t>FFY '21 Finals</t>
  </si>
  <si>
    <t>FMAP</t>
  </si>
  <si>
    <t>Total                 OPIM &amp; FCAP    Ongoing Case       Management</t>
  </si>
  <si>
    <t>%
of 
OPIM
Alloc.</t>
  </si>
  <si>
    <t>Total                 OPIM &amp; FCAP    Eligibility Case      Management</t>
  </si>
  <si>
    <t>Housing Support Services Medicaid Type B</t>
  </si>
  <si>
    <t>60/40 FF/GF</t>
  </si>
  <si>
    <t xml:space="preserve">Unspent NSIP from 2019-2021 </t>
  </si>
  <si>
    <t xml:space="preserve">Total IIIC1 Congregate Meals Allocation </t>
  </si>
  <si>
    <t xml:space="preserve">Title IIIC2 Home Delivered Meals </t>
  </si>
  <si>
    <t>NWSDS to Pilot</t>
  </si>
  <si>
    <t>Adj total:</t>
  </si>
  <si>
    <r>
      <t xml:space="preserve">
Number of Meals Served
in </t>
    </r>
    <r>
      <rPr>
        <b/>
        <sz val="14"/>
        <color rgb="FFFF0000"/>
        <rFont val="Calibri"/>
        <family val="2"/>
        <scheme val="minor"/>
      </rPr>
      <t>FY 2019</t>
    </r>
  </si>
  <si>
    <t>LOC6-American Rescue Plan {ARP} for LTCO SSA Title XX - {Budget: Aug 1, 2022 - Sept 30, 2025}</t>
  </si>
  <si>
    <t>Title III funds (As per OAA 703(a)(2)(C)(ii) equal to FFY 2019 allocation)</t>
  </si>
  <si>
    <t xml:space="preserve">21-23 Total </t>
  </si>
  <si>
    <t>Allocation by Meals (based on number of meals served in 2019)</t>
  </si>
  <si>
    <t>Forecast-2024</t>
  </si>
  <si>
    <t>Forecast-2025</t>
  </si>
  <si>
    <t>FFY '22 Finals</t>
  </si>
  <si>
    <r>
      <rPr>
        <b/>
        <i/>
        <sz val="11"/>
        <color theme="1"/>
        <rFont val="Calibri"/>
        <family val="2"/>
        <scheme val="minor"/>
      </rPr>
      <t>(Estimated)</t>
    </r>
    <r>
      <rPr>
        <b/>
        <sz val="11"/>
        <color theme="1"/>
        <rFont val="Calibri"/>
        <family val="2"/>
        <scheme val="minor"/>
      </rPr>
      <t xml:space="preserve"> 2023-2025</t>
    </r>
  </si>
  <si>
    <t xml:space="preserve">FFY 23 </t>
  </si>
  <si>
    <t>2024 Award (Federal Fiscal Year 2024)</t>
  </si>
  <si>
    <t>2025 Award (Federal Fiscal Year 2025)</t>
  </si>
  <si>
    <t>FFY2024</t>
  </si>
  <si>
    <t>FFY2025</t>
  </si>
  <si>
    <t>2023-2025 Portion</t>
  </si>
  <si>
    <t>ARP
Title 
III-C1</t>
  </si>
  <si>
    <t>ARP
Title 
III-B</t>
  </si>
  <si>
    <t>ARP
Title 
III-C2</t>
  </si>
  <si>
    <t>ARP
Title 
III-D</t>
  </si>
  <si>
    <t>ARP
Title 
III-E</t>
  </si>
  <si>
    <t>SLFR-HDM
Title 
IIIC2</t>
  </si>
  <si>
    <t>CAA-VAC5</t>
  </si>
  <si>
    <t>Unspent
'21-'23
Biennia
OAA
Funds</t>
  </si>
  <si>
    <r>
      <t xml:space="preserve">American Rescue Plan {ARP} - {Budget: April 1, 2021 - Sept 30, 2024} - </t>
    </r>
    <r>
      <rPr>
        <b/>
        <sz val="12"/>
        <color rgb="FF000000"/>
        <rFont val="Calibri"/>
        <family val="2"/>
      </rPr>
      <t>Carry Forward - Estimate</t>
    </r>
  </si>
  <si>
    <t>(Federal Fiscal Year 2023)</t>
  </si>
  <si>
    <t>(Federal Fiscal Year 2024)</t>
  </si>
  <si>
    <t xml:space="preserve"> (Federal Fiscal Year 2025)</t>
  </si>
  <si>
    <t>AAA Report</t>
  </si>
  <si>
    <t>Per Rodney; allocate 1/2 of 21-23 biennial total  $20,855,776.</t>
  </si>
  <si>
    <t>Per Rodney; allocate 1/2 of 21-23 biennial total $6,222,000</t>
  </si>
  <si>
    <t>ARP Combined Total</t>
  </si>
  <si>
    <t xml:space="preserve">ALN/CFDA </t>
  </si>
  <si>
    <r>
      <rPr>
        <i/>
        <sz val="11"/>
        <color rgb="FFC00000"/>
        <rFont val="Calibri"/>
        <family val="2"/>
        <scheme val="minor"/>
      </rPr>
      <t>Red=projected</t>
    </r>
    <r>
      <rPr>
        <i/>
        <sz val="11"/>
        <color theme="1"/>
        <rFont val="Calibri"/>
        <family val="2"/>
        <scheme val="minor"/>
      </rPr>
      <t xml:space="preserve">  Black=final
</t>
    </r>
    <r>
      <rPr>
        <b/>
        <sz val="11"/>
        <color theme="1"/>
        <rFont val="Calibri"/>
        <family val="2"/>
        <scheme val="minor"/>
      </rPr>
      <t>OAA Grant Awards</t>
    </r>
  </si>
  <si>
    <t>2019 NSIP Certified Meals</t>
  </si>
  <si>
    <t>23-25
Allocation
Total</t>
  </si>
  <si>
    <t>**'21-'23 Unspent NSIP via IFF FYE 18 Meal Count</t>
  </si>
  <si>
    <t>Unspent '21-'23 Biennia ARP/SLFR/VAC5 Funds</t>
  </si>
  <si>
    <t xml:space="preserve">IIIB/OASS
Support
Services </t>
  </si>
  <si>
    <t>IIIC1/OACM
Congregate
Meals</t>
  </si>
  <si>
    <t>IIIC2/OAHD
Home-
Delivered
Meals</t>
  </si>
  <si>
    <t>IIID/OAPH
Evidence-
Based
Health
Promotion
Services</t>
  </si>
  <si>
    <t>IIIE/OAFC
Caregiver
Services</t>
  </si>
  <si>
    <t>VIIB/OAEA
Elder
Abuse,
Neglect &amp;
Exploitation
Prevention
Activities</t>
  </si>
  <si>
    <t>Federal Fiscal Year 2023</t>
  </si>
  <si>
    <t>Federal Fiscal Year 2024</t>
  </si>
  <si>
    <t>Federal Fiscal Year 2025</t>
  </si>
  <si>
    <t>FAIN</t>
  </si>
  <si>
    <t>Budget Period</t>
  </si>
  <si>
    <t>2301OROACM</t>
  </si>
  <si>
    <t>2401OROACM</t>
  </si>
  <si>
    <t>2501OROACM</t>
  </si>
  <si>
    <t>Index</t>
  </si>
  <si>
    <t>Population-NSIP #</t>
  </si>
  <si>
    <t>Award History &amp; Projections</t>
  </si>
  <si>
    <t>Allocation Summary</t>
  </si>
  <si>
    <t>21-23 Unspent-COVID</t>
  </si>
  <si>
    <t>No Wrong Door</t>
  </si>
  <si>
    <t>Population Data</t>
  </si>
  <si>
    <t>Population ADRC Sorted</t>
  </si>
  <si>
    <t>Source Information</t>
  </si>
  <si>
    <t>2501OROASS</t>
  </si>
  <si>
    <t>2401OROASS</t>
  </si>
  <si>
    <t>2301OROASS</t>
  </si>
  <si>
    <t>Title VII B Elder Abuse Prevention &amp; Awareness</t>
  </si>
  <si>
    <t>Nutrition Services Incentive Program (NSIP) (Disbursal based on total NSIP-eligible meals delivered during FY 2019)</t>
  </si>
  <si>
    <t>Oregon Project Independence - OPI 60+, Alzheimer/Dementia</t>
  </si>
  <si>
    <t>Oregon Project Independence OPI for 19-59 years of age</t>
  </si>
  <si>
    <t>2501OROAHD</t>
  </si>
  <si>
    <t>2501OROAPH</t>
  </si>
  <si>
    <t>2501OROAFC</t>
  </si>
  <si>
    <t>2501OROANS</t>
  </si>
  <si>
    <t>2501OROAEA</t>
  </si>
  <si>
    <t>2501OROAOM</t>
  </si>
  <si>
    <t>2401OROAHD</t>
  </si>
  <si>
    <t>2401OROAPH</t>
  </si>
  <si>
    <t>2401OROAFC</t>
  </si>
  <si>
    <t>2401OROANS</t>
  </si>
  <si>
    <t>2401OROAEA</t>
  </si>
  <si>
    <t>2401OROAOM</t>
  </si>
  <si>
    <t>2301OROAHD</t>
  </si>
  <si>
    <t>2301OROAPH</t>
  </si>
  <si>
    <t>2301OROAFC</t>
  </si>
  <si>
    <t>2301OROANS</t>
  </si>
  <si>
    <t>2301OROAEA</t>
  </si>
  <si>
    <t>2301OROAOM</t>
  </si>
  <si>
    <t>CFDA</t>
  </si>
  <si>
    <t>Title III B</t>
  </si>
  <si>
    <t>Title III C-1</t>
  </si>
  <si>
    <t>Title III C-2</t>
  </si>
  <si>
    <t>Formulas:</t>
  </si>
  <si>
    <t>2025</t>
  </si>
  <si>
    <t>2024</t>
  </si>
  <si>
    <t>2023</t>
  </si>
  <si>
    <t>Title III D</t>
  </si>
  <si>
    <t>Title III E</t>
  </si>
  <si>
    <t>Title VII Ombud</t>
  </si>
  <si>
    <t>Title VII A</t>
  </si>
  <si>
    <t xml:space="preserve">10.2 % CIL Allocation </t>
  </si>
  <si>
    <t>Breakdown of funds allocations</t>
  </si>
  <si>
    <t>2023-2025
Portion</t>
  </si>
  <si>
    <t>MCADVS</t>
  </si>
  <si>
    <t>Title III B / OASS - Support Services</t>
  </si>
  <si>
    <t>Title III C-1 / OACM - Congregate Meals</t>
  </si>
  <si>
    <t>Title III C-2 / OAHD - Home-Delivered Meals</t>
  </si>
  <si>
    <t>Title III D / OAPH - Evidence-Based Health Promotion Services</t>
  </si>
  <si>
    <t>Title III E / OAFC - Caregiver Services</t>
  </si>
  <si>
    <t>Title VII B / OAEA - Elder Abuse Neglect &amp; Exploitation Prevention Activities</t>
  </si>
  <si>
    <t>Nutrition Services Incentive Program (NSIP)</t>
  </si>
  <si>
    <t>Oregon Project Independence (OPI) 60+</t>
  </si>
  <si>
    <t>Oregon Project Independence (OPI) 19-59</t>
  </si>
  <si>
    <t>COACO</t>
  </si>
  <si>
    <r>
      <rPr>
        <b/>
        <sz val="14"/>
        <color theme="1"/>
        <rFont val="Calibri"/>
        <family val="2"/>
      </rPr>
      <t xml:space="preserve">Population Cleaned </t>
    </r>
    <r>
      <rPr>
        <sz val="14"/>
        <color theme="1"/>
        <rFont val="Calibri"/>
        <family val="2"/>
        <scheme val="minor"/>
      </rPr>
      <t>- Total Population by 5-year age groups; Prepared by Population Research Center, PSU April 2021.  
Oregon_Annual_Pop_Report_Tables_2014_Excel.xlsx; Table 9.</t>
    </r>
  </si>
  <si>
    <r>
      <rPr>
        <b/>
        <sz val="14"/>
        <color theme="1"/>
        <rFont val="Calibri"/>
        <family val="2"/>
      </rPr>
      <t xml:space="preserve">Population Cleaned </t>
    </r>
    <r>
      <rPr>
        <sz val="14"/>
        <color theme="1"/>
        <rFont val="Calibri"/>
        <family val="2"/>
        <scheme val="minor"/>
      </rPr>
      <t>- 65+ Poverty Population percent below poverty; ACS_13_5YR_S1701.xls.</t>
    </r>
  </si>
  <si>
    <r>
      <rPr>
        <b/>
        <sz val="14"/>
        <color theme="1"/>
        <rFont val="Calibri"/>
        <family val="2"/>
      </rPr>
      <t xml:space="preserve">Population Cleaned </t>
    </r>
    <r>
      <rPr>
        <sz val="14"/>
        <color theme="1"/>
        <rFont val="Calibri"/>
        <family val="2"/>
        <scheme val="minor"/>
      </rPr>
      <t>- 65+ Minority Population; Calculated from the 2010 U.S. Census SF1 dataset for the population 65 years and older. Sum of people 65+ in the following categories: Black, American Indian/Alaska Native, Native Hawaiian/Pacific Islander, Asian, Some other race, 2+ races, and Hispanic.</t>
    </r>
  </si>
  <si>
    <t>Tab title</t>
  </si>
  <si>
    <t>3. Population-NSIP#</t>
  </si>
  <si>
    <t xml:space="preserve">4. Award History&amp;Projections </t>
  </si>
  <si>
    <t>5. Alloc Summary</t>
  </si>
  <si>
    <t>6. III B</t>
  </si>
  <si>
    <t>7. III C-1</t>
  </si>
  <si>
    <t>8. III C-2</t>
  </si>
  <si>
    <t>9. III D</t>
  </si>
  <si>
    <t>10. III E</t>
  </si>
  <si>
    <t>VII A-LTCO</t>
  </si>
  <si>
    <t>11. VII B</t>
  </si>
  <si>
    <t>13. NSIP</t>
  </si>
  <si>
    <t>14. SPA-Seq Mit.</t>
  </si>
  <si>
    <t>16. OPI 60+</t>
  </si>
  <si>
    <t>17. OPI 19-59</t>
  </si>
  <si>
    <t>Population-ADRC Sorted</t>
  </si>
  <si>
    <t>Special Purpose Appropriation (SPA) Continued OAA Sequestration Mitigation</t>
  </si>
  <si>
    <t>Total
OPI
(Services to 60+ Alz/Dem.)
Allocation</t>
  </si>
  <si>
    <t>Title VII A / OAOM - Ombudsman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</si>
</sst>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 ;\(#,##0\)"/>
    <numFmt numFmtId="165" formatCode="_(* #,##0_);_(* \(#,##0\);_(* &quot;-&quot;??_);_(@_)"/>
    <numFmt numFmtId="166" formatCode="_(&quot;$&quot;* #,##0_);_(&quot;$&quot;* \(#,##0\);_(&quot;$&quot;* &quot;-&quot;??_);_(@_)"/>
    <numFmt numFmtId="167" formatCode="mm/d/yyyy"/>
    <numFmt numFmtId="168" formatCode="mmm\ yyyy"/>
    <numFmt numFmtId="169" formatCode="0000"/>
    <numFmt numFmtId="170" formatCode="0.00%_);[Red]\(0.00%\)"/>
    <numFmt numFmtId="171" formatCode="&quot;$&quot;#,##0"/>
    <numFmt numFmtId="172" formatCode="0.0%"/>
    <numFmt numFmtId="173" formatCode="0.000"/>
    <numFmt numFmtId="174" formatCode="_(* #,##0.0000_);_(* \(#,##0.0000\);_(* &quot;-&quot;????_);_(@_)"/>
  </numFmts>
  <fonts count="12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b/>
      <sz val="8"/>
      <color indexed="81"/>
      <name val="Tahoma"/>
      <family val="2"/>
    </font>
    <font>
      <sz val="12"/>
      <name val="Times New Roman"/>
      <family val="1"/>
    </font>
    <font>
      <sz val="10"/>
      <name val="Tms Rmn"/>
    </font>
    <font>
      <b/>
      <sz val="11"/>
      <color indexed="8"/>
      <name val="Calibri"/>
      <family val="2"/>
      <scheme val="minor"/>
    </font>
    <font>
      <b/>
      <sz val="12"/>
      <name val="Times New Roman"/>
      <family val="1"/>
    </font>
    <font>
      <u/>
      <sz val="12"/>
      <color indexed="12"/>
      <name val="Times New Roman"/>
      <family val="1"/>
    </font>
    <font>
      <sz val="11"/>
      <color rgb="FFFF0000"/>
      <name val="Calibri"/>
      <family val="2"/>
      <scheme val="minor"/>
    </font>
    <font>
      <u/>
      <sz val="11"/>
      <color theme="10"/>
      <name val="Calibri"/>
      <family val="2"/>
      <scheme val="minor"/>
    </font>
    <font>
      <b/>
      <sz val="11"/>
      <color theme="0" tint="-0.34998626667073579"/>
      <name val="Calibri"/>
      <family val="2"/>
      <scheme val="minor"/>
    </font>
    <font>
      <sz val="11"/>
      <color theme="0" tint="-0.34998626667073579"/>
      <name val="Calibri"/>
      <family val="2"/>
      <scheme val="minor"/>
    </font>
    <font>
      <sz val="14"/>
      <name val="Arial"/>
      <family val="2"/>
    </font>
    <font>
      <sz val="12"/>
      <name val="Arial Narrow"/>
      <family val="2"/>
    </font>
    <font>
      <u/>
      <sz val="14"/>
      <color indexed="12"/>
      <name val="Arial"/>
      <family val="2"/>
    </font>
    <font>
      <sz val="10"/>
      <name val="Arial"/>
      <family val="2"/>
    </font>
    <font>
      <sz val="14"/>
      <color indexed="8"/>
      <name val="Arial"/>
      <family val="2"/>
    </font>
    <font>
      <sz val="14"/>
      <color indexed="9"/>
      <name val="Arial"/>
      <family val="2"/>
    </font>
    <font>
      <sz val="14"/>
      <color indexed="20"/>
      <name val="Arial"/>
      <family val="2"/>
    </font>
    <font>
      <b/>
      <sz val="14"/>
      <color indexed="52"/>
      <name val="Arial"/>
      <family val="2"/>
    </font>
    <font>
      <b/>
      <sz val="14"/>
      <color indexed="9"/>
      <name val="Arial"/>
      <family val="2"/>
    </font>
    <font>
      <i/>
      <sz val="14"/>
      <color indexed="23"/>
      <name val="Arial"/>
      <family val="2"/>
    </font>
    <font>
      <sz val="14"/>
      <color indexed="17"/>
      <name val="Arial"/>
      <family val="2"/>
    </font>
    <font>
      <b/>
      <sz val="15"/>
      <color indexed="56"/>
      <name val="Arial"/>
      <family val="2"/>
    </font>
    <font>
      <b/>
      <sz val="13"/>
      <color indexed="56"/>
      <name val="Arial"/>
      <family val="2"/>
    </font>
    <font>
      <b/>
      <sz val="11"/>
      <color indexed="56"/>
      <name val="Arial"/>
      <family val="2"/>
    </font>
    <font>
      <sz val="14"/>
      <color indexed="62"/>
      <name val="Arial"/>
      <family val="2"/>
    </font>
    <font>
      <sz val="14"/>
      <color indexed="52"/>
      <name val="Arial"/>
      <family val="2"/>
    </font>
    <font>
      <sz val="14"/>
      <color indexed="60"/>
      <name val="Arial"/>
      <family val="2"/>
    </font>
    <font>
      <b/>
      <sz val="14"/>
      <color indexed="63"/>
      <name val="Arial"/>
      <family val="2"/>
    </font>
    <font>
      <b/>
      <sz val="18"/>
      <color indexed="56"/>
      <name val="Cambria"/>
      <family val="2"/>
    </font>
    <font>
      <b/>
      <sz val="14"/>
      <color indexed="8"/>
      <name val="Arial"/>
      <family val="2"/>
    </font>
    <font>
      <sz val="14"/>
      <color indexed="10"/>
      <name val="Arial"/>
      <family val="2"/>
    </font>
    <font>
      <sz val="9"/>
      <name val="Arial"/>
      <family val="2"/>
    </font>
    <font>
      <sz val="10"/>
      <name val="Geneva"/>
    </font>
    <font>
      <u/>
      <sz val="10"/>
      <color indexed="12"/>
      <name val="Arial"/>
      <family val="2"/>
    </font>
    <font>
      <u/>
      <sz val="9"/>
      <color indexed="12"/>
      <name val="Arial"/>
      <family val="2"/>
    </font>
    <font>
      <sz val="11"/>
      <color theme="0" tint="-0.499984740745262"/>
      <name val="Calibri"/>
      <family val="2"/>
      <scheme val="minor"/>
    </font>
    <font>
      <b/>
      <i/>
      <sz val="11"/>
      <color theme="1"/>
      <name val="Calibri"/>
      <family val="2"/>
      <scheme val="minor"/>
    </font>
    <font>
      <b/>
      <sz val="14"/>
      <color rgb="FFFF0000"/>
      <name val="Calibri"/>
      <family val="2"/>
      <scheme val="minor"/>
    </font>
    <font>
      <b/>
      <i/>
      <sz val="14"/>
      <color theme="1"/>
      <name val="Calibri"/>
      <family val="2"/>
      <scheme val="minor"/>
    </font>
    <font>
      <sz val="10"/>
      <name val="Arial Narrow"/>
      <family val="2"/>
    </font>
    <font>
      <sz val="11"/>
      <color theme="1"/>
      <name val="Arial Narrow"/>
      <family val="2"/>
    </font>
    <font>
      <b/>
      <sz val="12"/>
      <name val="Arial Narrow"/>
      <family val="2"/>
    </font>
    <font>
      <b/>
      <sz val="11"/>
      <color theme="1"/>
      <name val="Arial Narrow"/>
      <family val="2"/>
    </font>
    <font>
      <b/>
      <sz val="14"/>
      <color theme="1"/>
      <name val="Arial Narrow"/>
      <family val="2"/>
    </font>
    <font>
      <sz val="14"/>
      <name val="Calibri"/>
      <family val="2"/>
      <scheme val="minor"/>
    </font>
    <font>
      <sz val="11"/>
      <color theme="0" tint="-0.249977111117893"/>
      <name val="Calibri"/>
      <family val="2"/>
      <scheme val="minor"/>
    </font>
    <font>
      <sz val="12"/>
      <color theme="1"/>
      <name val="Calibri"/>
      <family val="2"/>
      <scheme val="minor"/>
    </font>
    <font>
      <b/>
      <sz val="14"/>
      <color indexed="8"/>
      <name val="Calibri"/>
      <family val="2"/>
      <scheme val="minor"/>
    </font>
    <font>
      <sz val="11"/>
      <color theme="0"/>
      <name val="Calibri"/>
      <family val="2"/>
      <scheme val="minor"/>
    </font>
    <font>
      <b/>
      <sz val="13"/>
      <color theme="1"/>
      <name val="Arial Narrow"/>
      <family val="2"/>
    </font>
    <font>
      <sz val="9"/>
      <color indexed="81"/>
      <name val="Tahoma"/>
      <family val="2"/>
    </font>
    <font>
      <b/>
      <sz val="9"/>
      <color indexed="81"/>
      <name val="Tahoma"/>
      <family val="2"/>
    </font>
    <font>
      <b/>
      <sz val="14"/>
      <name val="Arial"/>
      <family val="2"/>
    </font>
    <font>
      <sz val="12"/>
      <color indexed="62"/>
      <name val="Arial Narrow"/>
      <family val="2"/>
    </font>
    <font>
      <sz val="11"/>
      <name val="Arial Narrow"/>
      <family val="2"/>
    </font>
    <font>
      <sz val="12"/>
      <color indexed="58"/>
      <name val="Arial Narrow"/>
      <family val="2"/>
    </font>
    <font>
      <sz val="12"/>
      <color indexed="14"/>
      <name val="Arial Narrow"/>
      <family val="2"/>
    </font>
    <font>
      <sz val="8.25"/>
      <color theme="1"/>
      <name val="Verdana"/>
      <family val="2"/>
    </font>
    <font>
      <sz val="8.25"/>
      <color rgb="FF000000"/>
      <name val="Verdana"/>
      <family val="2"/>
    </font>
    <font>
      <b/>
      <sz val="22"/>
      <color rgb="FF000000"/>
      <name val="Arial"/>
      <family val="2"/>
    </font>
    <font>
      <sz val="8"/>
      <color rgb="FF000000"/>
      <name val="Verdana"/>
      <family val="2"/>
    </font>
    <font>
      <b/>
      <sz val="8.25"/>
      <color theme="1"/>
      <name val="Verdana"/>
      <family val="2"/>
    </font>
    <font>
      <sz val="13.2"/>
      <color theme="1"/>
      <name val="Verdana"/>
      <family val="2"/>
    </font>
    <font>
      <b/>
      <sz val="11"/>
      <color theme="1"/>
      <name val="Verdana"/>
      <family val="2"/>
    </font>
    <font>
      <sz val="11"/>
      <color theme="1"/>
      <name val="Verdana"/>
      <family val="2"/>
    </font>
    <font>
      <b/>
      <sz val="18"/>
      <color theme="1"/>
      <name val="Arial Narrow"/>
      <family val="2"/>
    </font>
    <font>
      <b/>
      <sz val="18"/>
      <color theme="1"/>
      <name val="Calibri"/>
      <family val="2"/>
      <scheme val="minor"/>
    </font>
    <font>
      <sz val="14"/>
      <color rgb="FFFF0000"/>
      <name val="Calibri"/>
      <family val="2"/>
      <scheme val="minor"/>
    </font>
    <font>
      <i/>
      <sz val="11"/>
      <name val="Calibri"/>
      <family val="2"/>
      <scheme val="minor"/>
    </font>
    <font>
      <sz val="10"/>
      <color theme="1"/>
      <name val="Times New Roman"/>
      <family val="1"/>
    </font>
    <font>
      <b/>
      <sz val="14"/>
      <color rgb="FF000000"/>
      <name val="Calibri"/>
      <family val="2"/>
    </font>
    <font>
      <sz val="14"/>
      <color rgb="FF000000"/>
      <name val="Calibri"/>
      <family val="2"/>
    </font>
    <font>
      <b/>
      <sz val="14"/>
      <color theme="1"/>
      <name val="Calibri"/>
      <family val="2"/>
    </font>
    <font>
      <b/>
      <i/>
      <sz val="11"/>
      <name val="Calibri"/>
      <family val="2"/>
      <scheme val="minor"/>
    </font>
    <font>
      <sz val="8"/>
      <name val="Calibri"/>
      <family val="2"/>
      <scheme val="minor"/>
    </font>
    <font>
      <i/>
      <sz val="14"/>
      <name val="Calibri"/>
      <family val="2"/>
      <scheme val="minor"/>
    </font>
    <font>
      <i/>
      <sz val="10"/>
      <name val="Calibri"/>
      <family val="2"/>
      <scheme val="minor"/>
    </font>
    <font>
      <b/>
      <sz val="12"/>
      <name val="Calibri"/>
      <family val="2"/>
      <scheme val="minor"/>
    </font>
    <font>
      <b/>
      <sz val="12"/>
      <color theme="1"/>
      <name val="Arial Narrow"/>
      <family val="2"/>
    </font>
    <font>
      <b/>
      <sz val="12"/>
      <color theme="1"/>
      <name val="Calibri"/>
      <family val="2"/>
      <scheme val="minor"/>
    </font>
    <font>
      <b/>
      <sz val="12"/>
      <color indexed="8"/>
      <name val="Calibri"/>
      <family val="2"/>
      <scheme val="minor"/>
    </font>
    <font>
      <b/>
      <sz val="12"/>
      <color rgb="FF000000"/>
      <name val="Calibri"/>
      <family val="2"/>
    </font>
    <font>
      <b/>
      <sz val="10"/>
      <color rgb="FF000000"/>
      <name val="Calibri"/>
      <family val="2"/>
    </font>
    <font>
      <sz val="10"/>
      <name val="Calibri"/>
      <family val="2"/>
      <scheme val="minor"/>
    </font>
    <font>
      <sz val="12"/>
      <name val="Calibri"/>
      <family val="2"/>
      <scheme val="minor"/>
    </font>
    <font>
      <sz val="12"/>
      <color rgb="FF000000"/>
      <name val="Calibri"/>
      <family val="2"/>
    </font>
    <font>
      <sz val="11"/>
      <name val="Calibri"/>
      <family val="2"/>
    </font>
    <font>
      <sz val="11"/>
      <name val="Wingdings 2"/>
      <family val="1"/>
      <charset val="2"/>
    </font>
    <font>
      <sz val="14"/>
      <name val="Arial Narrow"/>
      <family val="2"/>
    </font>
    <font>
      <b/>
      <sz val="12"/>
      <color rgb="FFFF0000"/>
      <name val="Calibri"/>
      <family val="2"/>
      <scheme val="minor"/>
    </font>
    <font>
      <sz val="11"/>
      <color rgb="FFC00000"/>
      <name val="Calibri"/>
      <family val="2"/>
      <scheme val="minor"/>
    </font>
    <font>
      <i/>
      <sz val="11"/>
      <color rgb="FFC00000"/>
      <name val="Calibri"/>
      <family val="2"/>
      <scheme val="minor"/>
    </font>
    <font>
      <b/>
      <sz val="10"/>
      <color theme="1"/>
      <name val="Arial Narrow"/>
      <family val="2"/>
    </font>
    <font>
      <b/>
      <sz val="10"/>
      <color rgb="FFC00000"/>
      <name val="Arial Narrow"/>
      <family val="2"/>
    </font>
    <font>
      <b/>
      <sz val="14"/>
      <color rgb="FFC00000"/>
      <name val="Calibri"/>
      <family val="2"/>
      <scheme val="minor"/>
    </font>
    <font>
      <sz val="12"/>
      <color theme="0" tint="-0.499984740745262"/>
      <name val="Calibri"/>
      <family val="2"/>
      <scheme val="minor"/>
    </font>
    <font>
      <b/>
      <sz val="12"/>
      <color rgb="FFC00000"/>
      <name val="Arial Narrow"/>
      <family val="2"/>
    </font>
    <font>
      <b/>
      <sz val="11"/>
      <color rgb="FFC00000"/>
      <name val="Calibri"/>
      <family val="2"/>
      <scheme val="minor"/>
    </font>
    <font>
      <b/>
      <sz val="12"/>
      <color rgb="FFC00000"/>
      <name val="Calibri"/>
      <family val="2"/>
      <scheme val="minor"/>
    </font>
    <font>
      <sz val="12"/>
      <color theme="1"/>
      <name val="Times New Roman"/>
      <family val="1"/>
    </font>
    <font>
      <u/>
      <sz val="14"/>
      <color theme="10"/>
      <name val="Calibri"/>
      <family val="2"/>
      <scheme val="minor"/>
    </font>
    <font>
      <b/>
      <sz val="14"/>
      <name val="Times New Roman"/>
      <family val="1"/>
    </font>
    <font>
      <sz val="14"/>
      <name val="Times New Roman"/>
      <family val="1"/>
    </font>
    <font>
      <b/>
      <sz val="14"/>
      <name val="Tms Rmn"/>
    </font>
    <font>
      <b/>
      <sz val="11"/>
      <name val="Arial Narrow"/>
      <family val="2"/>
    </font>
  </fonts>
  <fills count="49">
    <fill>
      <patternFill patternType="none"/>
    </fill>
    <fill>
      <patternFill patternType="gray125"/>
    </fill>
    <fill>
      <patternFill patternType="solid">
        <fgColor theme="8"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rgb="FFFFCCFF"/>
        <bgColor indexed="64"/>
      </patternFill>
    </fill>
    <fill>
      <patternFill patternType="solid">
        <fgColor theme="6" tint="0.59999389629810485"/>
        <bgColor indexed="64"/>
      </patternFill>
    </fill>
    <fill>
      <patternFill patternType="solid">
        <fgColor rgb="FFB0DA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rgb="FFFBD1F8"/>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solid">
        <fgColor rgb="FFE8EEF4"/>
        <bgColor indexed="64"/>
      </patternFill>
    </fill>
    <fill>
      <patternFill patternType="solid">
        <fgColor theme="6" tint="0.79998168889431442"/>
        <bgColor indexed="64"/>
      </patternFill>
    </fill>
    <fill>
      <patternFill patternType="solid">
        <fgColor rgb="FFFFFFCC"/>
        <bgColor indexed="64"/>
      </patternFill>
    </fill>
    <fill>
      <patternFill patternType="solid">
        <fgColor rgb="FFBDD7EE"/>
        <bgColor indexed="64"/>
      </patternFill>
    </fill>
    <fill>
      <patternFill patternType="solid">
        <fgColor rgb="FFDBDBDB"/>
        <bgColor indexed="64"/>
      </patternFill>
    </fill>
    <fill>
      <patternFill patternType="solid">
        <fgColor rgb="FF92D050"/>
        <bgColor indexed="64"/>
      </patternFill>
    </fill>
    <fill>
      <patternFill patternType="solid">
        <fgColor rgb="FFBCE0EA"/>
        <bgColor indexed="64"/>
      </patternFill>
    </fill>
    <fill>
      <patternFill patternType="solid">
        <fgColor rgb="FFFF99CC"/>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theme="0" tint="-0.249977111117893"/>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medium">
        <color indexed="64"/>
      </left>
      <right style="thin">
        <color indexed="64"/>
      </right>
      <top/>
      <bottom style="thick">
        <color indexed="64"/>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auto="1"/>
      </left>
      <right/>
      <top/>
      <bottom/>
      <diagonal/>
    </border>
    <border>
      <left style="thin">
        <color indexed="64"/>
      </left>
      <right/>
      <top style="thick">
        <color indexed="64"/>
      </top>
      <bottom style="thin">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top/>
      <bottom/>
      <diagonal/>
    </border>
    <border>
      <left/>
      <right/>
      <top style="double">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ck">
        <color indexed="64"/>
      </left>
      <right/>
      <top style="thick">
        <color indexed="64"/>
      </top>
      <bottom/>
      <diagonal/>
    </border>
    <border>
      <left/>
      <right style="double">
        <color indexed="64"/>
      </right>
      <top style="double">
        <color indexed="64"/>
      </top>
      <bottom style="double">
        <color indexed="64"/>
      </bottom>
      <diagonal/>
    </border>
    <border>
      <left style="thick">
        <color indexed="64"/>
      </left>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thick">
        <color indexed="64"/>
      </left>
      <right/>
      <top style="thin">
        <color indexed="64"/>
      </top>
      <bottom style="thick">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rgb="FFD4D4D4"/>
      </left>
      <right style="medium">
        <color rgb="FFD4D4D4"/>
      </right>
      <top style="medium">
        <color rgb="FFD4D4D4"/>
      </top>
      <bottom style="medium">
        <color rgb="FFD4D4D4"/>
      </bottom>
      <diagonal/>
    </border>
    <border>
      <left style="medium">
        <color rgb="FFE8EEF4"/>
      </left>
      <right style="medium">
        <color rgb="FFE8EEF4"/>
      </right>
      <top style="medium">
        <color rgb="FFE8EEF4"/>
      </top>
      <bottom/>
      <diagonal/>
    </border>
    <border>
      <left style="medium">
        <color rgb="FF999999"/>
      </left>
      <right style="medium">
        <color rgb="FF999999"/>
      </right>
      <top style="medium">
        <color rgb="FF999999"/>
      </top>
      <bottom style="medium">
        <color rgb="FF999999"/>
      </bottom>
      <diagonal/>
    </border>
    <border>
      <left style="medium">
        <color rgb="FFE8EEF4"/>
      </left>
      <right style="medium">
        <color rgb="FFE8EEF4"/>
      </right>
      <top style="medium">
        <color rgb="FFE8EEF4"/>
      </top>
      <bottom style="medium">
        <color rgb="FFE8EEF4"/>
      </bottom>
      <diagonal/>
    </border>
    <border>
      <left/>
      <right/>
      <top/>
      <bottom style="medium">
        <color rgb="FFE8EEF4"/>
      </bottom>
      <diagonal/>
    </border>
    <border>
      <left/>
      <right/>
      <top style="thin">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double">
        <color indexed="64"/>
      </bottom>
      <diagonal/>
    </border>
    <border>
      <left style="medium">
        <color indexed="64"/>
      </left>
      <right style="medium">
        <color indexed="64"/>
      </right>
      <top/>
      <bottom style="medium">
        <color rgb="FF000000"/>
      </bottom>
      <diagonal/>
    </border>
    <border>
      <left/>
      <right/>
      <top/>
      <bottom style="medium">
        <color indexed="64"/>
      </bottom>
      <diagonal/>
    </border>
    <border>
      <left/>
      <right/>
      <top style="medium">
        <color indexed="64"/>
      </top>
      <bottom/>
      <diagonal/>
    </border>
    <border>
      <left/>
      <right/>
      <top style="medium">
        <color indexed="64"/>
      </top>
      <bottom style="double">
        <color indexed="64"/>
      </bottom>
      <diagonal/>
    </border>
    <border>
      <left style="medium">
        <color indexed="64"/>
      </left>
      <right style="thin">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style="thin">
        <color indexed="64"/>
      </right>
      <top style="thin">
        <color auto="1"/>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7">
    <xf numFmtId="0" fontId="0" fillId="0" borderId="0"/>
    <xf numFmtId="43" fontId="10" fillId="0" borderId="0" applyFont="0" applyFill="0" applyBorder="0" applyAlignment="0" applyProtection="0"/>
    <xf numFmtId="44" fontId="10" fillId="0" borderId="0" applyFont="0" applyFill="0" applyBorder="0" applyAlignment="0" applyProtection="0"/>
    <xf numFmtId="9" fontId="10" fillId="0" borderId="0" applyFont="0" applyFill="0" applyBorder="0" applyAlignment="0" applyProtection="0"/>
    <xf numFmtId="164" fontId="17" fillId="0" borderId="0"/>
    <xf numFmtId="37" fontId="18" fillId="0" borderId="6"/>
    <xf numFmtId="167" fontId="17" fillId="0" borderId="0"/>
    <xf numFmtId="168" fontId="17" fillId="0" borderId="0" applyProtection="0">
      <protection locked="0"/>
    </xf>
    <xf numFmtId="168" fontId="17" fillId="0" borderId="0"/>
    <xf numFmtId="169" fontId="17" fillId="0" borderId="0"/>
    <xf numFmtId="0" fontId="18" fillId="0" borderId="0"/>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26" fillId="0" borderId="0"/>
    <xf numFmtId="0" fontId="28" fillId="0" borderId="0" applyNumberFormat="0" applyFill="0" applyBorder="0" applyAlignment="0" applyProtection="0">
      <alignment vertical="top"/>
      <protection locked="0"/>
    </xf>
    <xf numFmtId="0" fontId="29" fillId="0" borderId="0"/>
    <xf numFmtId="0" fontId="30" fillId="9"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0" fillId="15" borderId="0" applyNumberFormat="0" applyBorder="0" applyAlignment="0" applyProtection="0"/>
    <xf numFmtId="0" fontId="30" fillId="16" borderId="0" applyNumberFormat="0" applyBorder="0" applyAlignment="0" applyProtection="0"/>
    <xf numFmtId="0" fontId="30" fillId="17" borderId="0" applyNumberFormat="0" applyBorder="0" applyAlignment="0" applyProtection="0"/>
    <xf numFmtId="0" fontId="30" fillId="12" borderId="0" applyNumberFormat="0" applyBorder="0" applyAlignment="0" applyProtection="0"/>
    <xf numFmtId="0" fontId="30" fillId="15" borderId="0" applyNumberFormat="0" applyBorder="0" applyAlignment="0" applyProtection="0"/>
    <xf numFmtId="0" fontId="30" fillId="18" borderId="0" applyNumberFormat="0" applyBorder="0" applyAlignment="0" applyProtection="0"/>
    <xf numFmtId="0" fontId="31" fillId="19"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31" fillId="26" borderId="0" applyNumberFormat="0" applyBorder="0" applyAlignment="0" applyProtection="0"/>
    <xf numFmtId="0" fontId="32" fillId="10" borderId="0" applyNumberFormat="0" applyBorder="0" applyAlignment="0" applyProtection="0"/>
    <xf numFmtId="0" fontId="33" fillId="27" borderId="10" applyNumberFormat="0" applyAlignment="0" applyProtection="0"/>
    <xf numFmtId="0" fontId="34" fillId="28" borderId="11" applyNumberFormat="0" applyAlignment="0" applyProtection="0"/>
    <xf numFmtId="43" fontId="29" fillId="0" borderId="0" applyFont="0" applyFill="0" applyBorder="0" applyAlignment="0" applyProtection="0"/>
    <xf numFmtId="0" fontId="35" fillId="0" borderId="0" applyNumberFormat="0" applyFill="0" applyBorder="0" applyAlignment="0" applyProtection="0"/>
    <xf numFmtId="0" fontId="36" fillId="11" borderId="0" applyNumberFormat="0" applyBorder="0" applyAlignment="0" applyProtection="0"/>
    <xf numFmtId="0" fontId="37" fillId="0" borderId="12"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40" fillId="14" borderId="10" applyNumberFormat="0" applyAlignment="0" applyProtection="0"/>
    <xf numFmtId="0" fontId="41" fillId="0" borderId="15" applyNumberFormat="0" applyFill="0" applyAlignment="0" applyProtection="0"/>
    <xf numFmtId="0" fontId="42" fillId="29" borderId="0" applyNumberFormat="0" applyBorder="0" applyAlignment="0" applyProtection="0"/>
    <xf numFmtId="0" fontId="29" fillId="0" borderId="0"/>
    <xf numFmtId="0" fontId="29" fillId="30" borderId="16" applyNumberFormat="0" applyFont="0" applyAlignment="0" applyProtection="0"/>
    <xf numFmtId="0" fontId="43" fillId="27" borderId="17" applyNumberFormat="0" applyAlignment="0" applyProtection="0"/>
    <xf numFmtId="0" fontId="44" fillId="0" borderId="0" applyNumberFormat="0" applyFill="0" applyBorder="0" applyAlignment="0" applyProtection="0"/>
    <xf numFmtId="0" fontId="45" fillId="0" borderId="18" applyNumberFormat="0" applyFill="0" applyAlignment="0" applyProtection="0"/>
    <xf numFmtId="0" fontId="46" fillId="0" borderId="0" applyNumberForma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10" fillId="0" borderId="0" applyFont="0" applyFill="0" applyBorder="0" applyAlignment="0" applyProtection="0"/>
    <xf numFmtId="0" fontId="29" fillId="0" borderId="0"/>
    <xf numFmtId="0" fontId="29" fillId="0" borderId="0"/>
    <xf numFmtId="0" fontId="47" fillId="0" borderId="0">
      <alignment vertical="top"/>
    </xf>
    <xf numFmtId="9" fontId="10" fillId="0" borderId="0" applyFont="0" applyFill="0" applyBorder="0" applyAlignment="0" applyProtection="0"/>
    <xf numFmtId="0" fontId="29" fillId="0" borderId="0"/>
    <xf numFmtId="22" fontId="47" fillId="0" borderId="0" applyFont="0" applyFill="0" applyBorder="0" applyAlignment="0" applyProtection="0"/>
    <xf numFmtId="43" fontId="29" fillId="0" borderId="0" applyFont="0" applyFill="0" applyBorder="0" applyAlignment="0" applyProtection="0"/>
    <xf numFmtId="6" fontId="48"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7" fillId="0" borderId="0" applyFont="0" applyFill="0" applyBorder="0" applyAlignment="0" applyProtection="0"/>
    <xf numFmtId="0" fontId="49"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29" fillId="0" borderId="0"/>
    <xf numFmtId="0" fontId="47" fillId="0" borderId="0">
      <alignment vertical="top"/>
    </xf>
    <xf numFmtId="0" fontId="47" fillId="0" borderId="0">
      <alignment vertical="top"/>
    </xf>
    <xf numFmtId="0" fontId="47" fillId="0" borderId="0">
      <alignment vertical="top"/>
    </xf>
    <xf numFmtId="0" fontId="9" fillId="0" borderId="0"/>
    <xf numFmtId="170" fontId="48" fillId="0" borderId="0" applyFont="0" applyFill="0" applyBorder="0" applyAlignment="0" applyProtection="0"/>
    <xf numFmtId="9" fontId="29" fillId="0" borderId="0" applyFont="0" applyFill="0" applyBorder="0" applyAlignment="0" applyProtection="0"/>
    <xf numFmtId="0" fontId="10" fillId="0" borderId="0"/>
    <xf numFmtId="43" fontId="10" fillId="0" borderId="0" applyFont="0" applyFill="0" applyBorder="0" applyAlignment="0" applyProtection="0"/>
    <xf numFmtId="164" fontId="17" fillId="0" borderId="0"/>
    <xf numFmtId="0" fontId="21" fillId="0" borderId="0" applyNumberFormat="0" applyFill="0" applyBorder="0" applyAlignment="0" applyProtection="0">
      <alignment vertical="top"/>
      <protection locked="0"/>
    </xf>
    <xf numFmtId="0" fontId="23" fillId="0" borderId="0" applyNumberFormat="0" applyFill="0" applyBorder="0" applyAlignment="0" applyProtection="0"/>
    <xf numFmtId="0" fontId="40" fillId="14" borderId="19" applyNumberFormat="0" applyAlignment="0" applyProtection="0"/>
    <xf numFmtId="0" fontId="33" fillId="27" borderId="19" applyNumberFormat="0" applyAlignment="0" applyProtection="0"/>
    <xf numFmtId="0" fontId="29" fillId="30" borderId="20" applyNumberFormat="0" applyFont="0" applyAlignment="0" applyProtection="0"/>
    <xf numFmtId="0" fontId="40" fillId="14" borderId="55" applyNumberFormat="0" applyAlignment="0" applyProtection="0"/>
    <xf numFmtId="0" fontId="33" fillId="27" borderId="51" applyNumberFormat="0" applyAlignment="0" applyProtection="0"/>
    <xf numFmtId="0" fontId="40" fillId="14" borderId="51" applyNumberFormat="0" applyAlignment="0" applyProtection="0"/>
    <xf numFmtId="0" fontId="29" fillId="30" borderId="52" applyNumberFormat="0" applyFont="0" applyAlignment="0" applyProtection="0"/>
    <xf numFmtId="0" fontId="43" fillId="27" borderId="53" applyNumberFormat="0" applyAlignment="0" applyProtection="0"/>
    <xf numFmtId="0" fontId="45" fillId="0" borderId="54" applyNumberFormat="0" applyFill="0" applyAlignment="0" applyProtection="0"/>
    <xf numFmtId="0" fontId="29" fillId="30" borderId="56" applyNumberFormat="0" applyFont="0" applyAlignment="0" applyProtection="0"/>
    <xf numFmtId="0" fontId="45" fillId="0" borderId="58" applyNumberFormat="0" applyFill="0" applyAlignment="0" applyProtection="0"/>
    <xf numFmtId="0" fontId="43" fillId="27" borderId="57" applyNumberFormat="0" applyAlignment="0" applyProtection="0"/>
    <xf numFmtId="0" fontId="33" fillId="27" borderId="55" applyNumberFormat="0" applyAlignment="0" applyProtection="0"/>
    <xf numFmtId="0" fontId="7" fillId="0" borderId="0"/>
    <xf numFmtId="0" fontId="40" fillId="14" borderId="51" applyNumberFormat="0" applyAlignment="0" applyProtection="0"/>
    <xf numFmtId="0" fontId="33" fillId="27" borderId="51" applyNumberFormat="0" applyAlignment="0" applyProtection="0"/>
    <xf numFmtId="0" fontId="29" fillId="30" borderId="52" applyNumberFormat="0" applyFont="0" applyAlignment="0" applyProtection="0"/>
    <xf numFmtId="0" fontId="40" fillId="14" borderId="55" applyNumberFormat="0" applyAlignment="0" applyProtection="0"/>
    <xf numFmtId="0" fontId="33" fillId="27" borderId="55" applyNumberFormat="0" applyAlignment="0" applyProtection="0"/>
    <xf numFmtId="0" fontId="29" fillId="30" borderId="56" applyNumberFormat="0" applyFont="0" applyAlignment="0" applyProtection="0"/>
    <xf numFmtId="0" fontId="33" fillId="27" borderId="55" applyNumberFormat="0" applyAlignment="0" applyProtection="0"/>
    <xf numFmtId="0" fontId="40" fillId="14" borderId="55" applyNumberFormat="0" applyAlignment="0" applyProtection="0"/>
    <xf numFmtId="0" fontId="29" fillId="30" borderId="56" applyNumberFormat="0" applyFont="0" applyAlignment="0" applyProtection="0"/>
    <xf numFmtId="0" fontId="43" fillId="27" borderId="57" applyNumberFormat="0" applyAlignment="0" applyProtection="0"/>
    <xf numFmtId="0" fontId="45" fillId="0" borderId="58" applyNumberFormat="0" applyFill="0" applyAlignment="0" applyProtection="0"/>
    <xf numFmtId="0" fontId="40" fillId="14" borderId="55" applyNumberFormat="0" applyAlignment="0" applyProtection="0"/>
    <xf numFmtId="0" fontId="33" fillId="27" borderId="55" applyNumberFormat="0" applyAlignment="0" applyProtection="0"/>
    <xf numFmtId="0" fontId="29" fillId="30" borderId="56" applyNumberFormat="0" applyFont="0" applyAlignment="0" applyProtection="0"/>
    <xf numFmtId="0" fontId="6" fillId="0" borderId="0"/>
    <xf numFmtId="0" fontId="6" fillId="0" borderId="0"/>
  </cellStyleXfs>
  <cellXfs count="913">
    <xf numFmtId="0" fontId="0" fillId="0" borderId="0" xfId="0"/>
    <xf numFmtId="0" fontId="11" fillId="0" borderId="0" xfId="0" applyFont="1"/>
    <xf numFmtId="0" fontId="11" fillId="0" borderId="2" xfId="0" applyFont="1" applyBorder="1" applyAlignment="1">
      <alignment wrapText="1"/>
    </xf>
    <xf numFmtId="0" fontId="0" fillId="0" borderId="2" xfId="0" applyBorder="1"/>
    <xf numFmtId="165" fontId="10" fillId="0" borderId="0" xfId="1" applyNumberFormat="1" applyFont="1"/>
    <xf numFmtId="10" fontId="10" fillId="0" borderId="0" xfId="3" applyNumberFormat="1" applyFont="1"/>
    <xf numFmtId="9" fontId="10" fillId="0" borderId="0" xfId="3" applyFont="1"/>
    <xf numFmtId="165" fontId="10" fillId="0" borderId="0" xfId="1" applyNumberFormat="1" applyFont="1"/>
    <xf numFmtId="165" fontId="10" fillId="0" borderId="6" xfId="1" applyNumberFormat="1" applyFont="1" applyBorder="1"/>
    <xf numFmtId="165" fontId="10" fillId="0" borderId="0" xfId="1" applyNumberFormat="1" applyFont="1"/>
    <xf numFmtId="165" fontId="11" fillId="0" borderId="0" xfId="1" applyNumberFormat="1" applyFont="1"/>
    <xf numFmtId="165" fontId="11" fillId="3" borderId="7" xfId="1" applyNumberFormat="1" applyFont="1" applyFill="1" applyBorder="1"/>
    <xf numFmtId="165" fontId="0" fillId="0" borderId="0" xfId="0" applyNumberFormat="1"/>
    <xf numFmtId="165" fontId="10" fillId="0" borderId="0" xfId="1" applyNumberFormat="1" applyFont="1" applyBorder="1"/>
    <xf numFmtId="165" fontId="11" fillId="0" borderId="0" xfId="1" applyNumberFormat="1" applyFont="1" applyFill="1" applyBorder="1"/>
    <xf numFmtId="0" fontId="0" fillId="0" borderId="0" xfId="0" applyFont="1"/>
    <xf numFmtId="165" fontId="10" fillId="0" borderId="3" xfId="1" applyNumberFormat="1" applyFont="1" applyFill="1" applyBorder="1"/>
    <xf numFmtId="165" fontId="10" fillId="0" borderId="0" xfId="1" applyNumberFormat="1" applyFont="1" applyFill="1" applyBorder="1"/>
    <xf numFmtId="165" fontId="10" fillId="0" borderId="0" xfId="1" applyNumberFormat="1" applyFont="1"/>
    <xf numFmtId="0" fontId="15" fillId="0" borderId="0" xfId="0" applyFont="1"/>
    <xf numFmtId="5" fontId="0" fillId="0" borderId="0" xfId="0" applyNumberFormat="1"/>
    <xf numFmtId="0" fontId="11" fillId="0" borderId="1" xfId="0" applyFont="1" applyBorder="1" applyAlignment="1">
      <alignment horizontal="center"/>
    </xf>
    <xf numFmtId="5" fontId="0" fillId="0" borderId="1" xfId="2" applyNumberFormat="1" applyFont="1" applyBorder="1"/>
    <xf numFmtId="166" fontId="11" fillId="2" borderId="1" xfId="0" applyNumberFormat="1" applyFont="1" applyFill="1" applyBorder="1"/>
    <xf numFmtId="166" fontId="11" fillId="0" borderId="1" xfId="2" applyNumberFormat="1" applyFont="1" applyFill="1" applyBorder="1"/>
    <xf numFmtId="5" fontId="0" fillId="0" borderId="1" xfId="0" applyNumberFormat="1" applyBorder="1"/>
    <xf numFmtId="0" fontId="0" fillId="0" borderId="0" xfId="0" applyAlignment="1">
      <alignment horizontal="center"/>
    </xf>
    <xf numFmtId="166" fontId="11" fillId="2" borderId="1" xfId="2" applyNumberFormat="1" applyFont="1" applyFill="1" applyBorder="1"/>
    <xf numFmtId="5" fontId="0" fillId="0" borderId="1" xfId="2" applyNumberFormat="1" applyFont="1" applyFill="1" applyBorder="1"/>
    <xf numFmtId="5" fontId="10" fillId="0" borderId="1" xfId="2" applyNumberFormat="1" applyFont="1" applyBorder="1" applyAlignment="1"/>
    <xf numFmtId="165" fontId="10" fillId="0" borderId="0" xfId="1" applyNumberFormat="1" applyFont="1" applyFill="1"/>
    <xf numFmtId="10" fontId="10" fillId="0" borderId="0" xfId="3" applyNumberFormat="1" applyFont="1" applyFill="1"/>
    <xf numFmtId="9" fontId="10" fillId="0" borderId="0" xfId="3" applyFont="1" applyFill="1"/>
    <xf numFmtId="164" fontId="17" fillId="0" borderId="0" xfId="4"/>
    <xf numFmtId="164" fontId="20" fillId="0" borderId="0" xfId="4" applyFont="1" applyFill="1"/>
    <xf numFmtId="3" fontId="20" fillId="0" borderId="0" xfId="4" applyNumberFormat="1" applyFont="1" applyFill="1" applyAlignment="1"/>
    <xf numFmtId="164" fontId="17" fillId="0" borderId="0" xfId="4" applyFont="1" applyFill="1"/>
    <xf numFmtId="166" fontId="11" fillId="8" borderId="1" xfId="0" applyNumberFormat="1" applyFont="1" applyFill="1" applyBorder="1"/>
    <xf numFmtId="165" fontId="51" fillId="0" borderId="0" xfId="1" applyNumberFormat="1" applyFont="1"/>
    <xf numFmtId="9" fontId="51" fillId="0" borderId="0" xfId="3" applyFont="1"/>
    <xf numFmtId="0" fontId="51" fillId="0" borderId="0" xfId="0" applyFont="1"/>
    <xf numFmtId="165" fontId="51" fillId="0" borderId="0" xfId="1" applyNumberFormat="1" applyFont="1" applyBorder="1"/>
    <xf numFmtId="171" fontId="10" fillId="0" borderId="0" xfId="3" applyNumberFormat="1" applyFont="1"/>
    <xf numFmtId="0" fontId="0" fillId="0" borderId="0" xfId="0" applyFont="1" applyAlignment="1">
      <alignment horizontal="right"/>
    </xf>
    <xf numFmtId="0" fontId="52" fillId="0" borderId="0" xfId="0" applyFont="1"/>
    <xf numFmtId="0" fontId="0" fillId="0" borderId="0" xfId="0" applyAlignment="1">
      <alignment wrapText="1"/>
    </xf>
    <xf numFmtId="0" fontId="11" fillId="0" borderId="0" xfId="0" applyFont="1" applyAlignment="1">
      <alignment horizontal="right"/>
    </xf>
    <xf numFmtId="0" fontId="56" fillId="0" borderId="0" xfId="0" applyFont="1" applyFill="1" applyBorder="1" applyAlignment="1">
      <alignment horizontal="right"/>
    </xf>
    <xf numFmtId="0" fontId="0" fillId="0" borderId="0" xfId="0" applyAlignment="1">
      <alignment horizontal="right"/>
    </xf>
    <xf numFmtId="0" fontId="13" fillId="0" borderId="0" xfId="0" applyFont="1"/>
    <xf numFmtId="0" fontId="61" fillId="0" borderId="0" xfId="0" applyFont="1"/>
    <xf numFmtId="0" fontId="25" fillId="0" borderId="0" xfId="0" applyFont="1" applyFill="1"/>
    <xf numFmtId="165" fontId="25" fillId="0" borderId="0" xfId="1" applyNumberFormat="1" applyFont="1"/>
    <xf numFmtId="0" fontId="25" fillId="0" borderId="0" xfId="0" applyFont="1"/>
    <xf numFmtId="171" fontId="10" fillId="0" borderId="0" xfId="2" applyNumberFormat="1" applyFont="1" applyFill="1"/>
    <xf numFmtId="171" fontId="10" fillId="0" borderId="0" xfId="2" applyNumberFormat="1" applyFont="1"/>
    <xf numFmtId="171" fontId="10" fillId="0" borderId="6" xfId="2" applyNumberFormat="1" applyFont="1" applyBorder="1"/>
    <xf numFmtId="171" fontId="10" fillId="0" borderId="0" xfId="2" applyNumberFormat="1" applyFont="1" applyFill="1" applyBorder="1"/>
    <xf numFmtId="171" fontId="11" fillId="0" borderId="0" xfId="2" applyNumberFormat="1" applyFont="1" applyFill="1" applyBorder="1"/>
    <xf numFmtId="171" fontId="11" fillId="0" borderId="7" xfId="2" applyNumberFormat="1" applyFont="1" applyFill="1" applyBorder="1"/>
    <xf numFmtId="171" fontId="10" fillId="0" borderId="0" xfId="1" applyNumberFormat="1" applyFont="1"/>
    <xf numFmtId="171" fontId="11" fillId="0" borderId="7" xfId="1" applyNumberFormat="1" applyFont="1" applyFill="1" applyBorder="1"/>
    <xf numFmtId="171" fontId="10" fillId="0" borderId="0" xfId="1" applyNumberFormat="1" applyFont="1" applyFill="1"/>
    <xf numFmtId="0" fontId="19" fillId="0" borderId="0" xfId="0" applyFont="1" applyAlignment="1">
      <alignment horizontal="right"/>
    </xf>
    <xf numFmtId="0" fontId="59" fillId="0" borderId="0" xfId="0" applyFont="1"/>
    <xf numFmtId="171" fontId="10" fillId="0" borderId="42" xfId="1" applyNumberFormat="1" applyFont="1" applyFill="1" applyBorder="1"/>
    <xf numFmtId="171" fontId="11" fillId="0" borderId="42" xfId="1" applyNumberFormat="1" applyFont="1" applyFill="1" applyBorder="1"/>
    <xf numFmtId="6" fontId="11" fillId="3" borderId="42" xfId="1" applyNumberFormat="1" applyFont="1" applyFill="1" applyBorder="1"/>
    <xf numFmtId="171" fontId="10" fillId="0" borderId="42" xfId="1" applyNumberFormat="1" applyFont="1" applyBorder="1"/>
    <xf numFmtId="171" fontId="11" fillId="3" borderId="42" xfId="1" applyNumberFormat="1" applyFont="1" applyFill="1" applyBorder="1"/>
    <xf numFmtId="0" fontId="0" fillId="0" borderId="0" xfId="0" applyFill="1" applyAlignment="1">
      <alignment horizontal="right"/>
    </xf>
    <xf numFmtId="0" fontId="11" fillId="3" borderId="42" xfId="0" applyFont="1" applyFill="1" applyBorder="1" applyAlignment="1">
      <alignment horizontal="right"/>
    </xf>
    <xf numFmtId="9" fontId="11" fillId="3" borderId="42" xfId="1" applyNumberFormat="1" applyFont="1" applyFill="1" applyBorder="1"/>
    <xf numFmtId="9" fontId="11" fillId="3" borderId="42" xfId="0" applyNumberFormat="1" applyFont="1" applyFill="1" applyBorder="1"/>
    <xf numFmtId="0" fontId="51" fillId="0" borderId="0" xfId="0" applyFont="1" applyAlignment="1">
      <alignment horizontal="right"/>
    </xf>
    <xf numFmtId="6" fontId="11" fillId="0" borderId="42" xfId="1" applyNumberFormat="1" applyFont="1" applyBorder="1"/>
    <xf numFmtId="0" fontId="25" fillId="0" borderId="0" xfId="0" applyFont="1" applyAlignment="1">
      <alignment horizontal="right"/>
    </xf>
    <xf numFmtId="0" fontId="0" fillId="33" borderId="0" xfId="0" applyFill="1"/>
    <xf numFmtId="165" fontId="10" fillId="33" borderId="0" xfId="1" applyNumberFormat="1" applyFont="1" applyFill="1"/>
    <xf numFmtId="0" fontId="0" fillId="33" borderId="0" xfId="0" applyFill="1" applyAlignment="1">
      <alignment horizontal="right"/>
    </xf>
    <xf numFmtId="0" fontId="11" fillId="33" borderId="0" xfId="0" applyFont="1" applyFill="1" applyAlignment="1">
      <alignment horizontal="right"/>
    </xf>
    <xf numFmtId="165" fontId="11" fillId="33" borderId="0" xfId="1" applyNumberFormat="1" applyFont="1" applyFill="1"/>
    <xf numFmtId="165" fontId="11" fillId="33" borderId="0" xfId="1" applyNumberFormat="1" applyFont="1" applyFill="1" applyBorder="1"/>
    <xf numFmtId="0" fontId="11" fillId="33" borderId="0" xfId="0" applyFont="1" applyFill="1"/>
    <xf numFmtId="0" fontId="59" fillId="2" borderId="43" xfId="0" applyFont="1" applyFill="1" applyBorder="1" applyAlignment="1">
      <alignment horizontal="center" wrapText="1"/>
    </xf>
    <xf numFmtId="165" fontId="59" fillId="8" borderId="42" xfId="1" applyNumberFormat="1" applyFont="1" applyFill="1" applyBorder="1" applyAlignment="1">
      <alignment horizontal="center" wrapText="1"/>
    </xf>
    <xf numFmtId="165" fontId="59" fillId="0" borderId="0" xfId="1" applyNumberFormat="1" applyFont="1"/>
    <xf numFmtId="0" fontId="59" fillId="2" borderId="1" xfId="0" applyFont="1" applyFill="1" applyBorder="1" applyAlignment="1">
      <alignment horizontal="center" wrapText="1"/>
    </xf>
    <xf numFmtId="0" fontId="59" fillId="8" borderId="42" xfId="0" applyFont="1" applyFill="1" applyBorder="1" applyAlignment="1">
      <alignment horizontal="center" wrapText="1"/>
    </xf>
    <xf numFmtId="0" fontId="0" fillId="0" borderId="0" xfId="0" applyAlignment="1">
      <alignment horizontal="right"/>
    </xf>
    <xf numFmtId="37" fontId="10" fillId="0" borderId="6" xfId="1" applyNumberFormat="1" applyFont="1" applyBorder="1"/>
    <xf numFmtId="0" fontId="7" fillId="0" borderId="0" xfId="0" applyFont="1"/>
    <xf numFmtId="172" fontId="0" fillId="0" borderId="0" xfId="0" applyNumberFormat="1"/>
    <xf numFmtId="172" fontId="10" fillId="0" borderId="42" xfId="3" applyNumberFormat="1" applyFont="1" applyBorder="1"/>
    <xf numFmtId="0" fontId="59" fillId="0" borderId="0" xfId="0" applyFont="1" applyFill="1" applyBorder="1" applyAlignment="1">
      <alignment horizontal="left" wrapText="1"/>
    </xf>
    <xf numFmtId="3" fontId="11" fillId="0" borderId="0" xfId="3" applyNumberFormat="1" applyFont="1" applyFill="1" applyBorder="1" applyAlignment="1">
      <alignment horizontal="left"/>
    </xf>
    <xf numFmtId="10" fontId="11" fillId="0" borderId="0" xfId="0" applyNumberFormat="1" applyFont="1" applyFill="1" applyBorder="1"/>
    <xf numFmtId="0" fontId="59" fillId="0" borderId="8" xfId="0" applyFont="1" applyBorder="1"/>
    <xf numFmtId="165" fontId="10" fillId="0" borderId="8" xfId="1" applyNumberFormat="1" applyFont="1" applyBorder="1"/>
    <xf numFmtId="0" fontId="11" fillId="0" borderId="8" xfId="0" applyFont="1" applyBorder="1"/>
    <xf numFmtId="0" fontId="59" fillId="0" borderId="0" xfId="0" applyFont="1" applyBorder="1"/>
    <xf numFmtId="172" fontId="13" fillId="0" borderId="0" xfId="1" applyNumberFormat="1" applyFont="1" applyBorder="1"/>
    <xf numFmtId="0" fontId="11" fillId="0" borderId="0" xfId="0" applyFont="1" applyBorder="1"/>
    <xf numFmtId="0" fontId="11" fillId="0" borderId="50" xfId="0" applyFont="1" applyBorder="1" applyAlignment="1">
      <alignment horizontal="right"/>
    </xf>
    <xf numFmtId="165" fontId="7" fillId="0" borderId="0" xfId="1" applyNumberFormat="1" applyFont="1"/>
    <xf numFmtId="0" fontId="15" fillId="2" borderId="21" xfId="0" applyFont="1" applyFill="1" applyBorder="1" applyAlignment="1">
      <alignment horizontal="center" wrapText="1"/>
    </xf>
    <xf numFmtId="0" fontId="7" fillId="2" borderId="21" xfId="0" applyFont="1" applyFill="1" applyBorder="1" applyAlignment="1">
      <alignment horizontal="center" wrapText="1"/>
    </xf>
    <xf numFmtId="0" fontId="7" fillId="0" borderId="8" xfId="0" applyFont="1" applyBorder="1"/>
    <xf numFmtId="0" fontId="7" fillId="0" borderId="21" xfId="0" applyFont="1" applyBorder="1"/>
    <xf numFmtId="165" fontId="7" fillId="0" borderId="21" xfId="1" applyNumberFormat="1" applyFont="1" applyBorder="1"/>
    <xf numFmtId="9" fontId="7" fillId="0" borderId="22" xfId="3" applyFont="1" applyBorder="1"/>
    <xf numFmtId="9" fontId="7" fillId="0" borderId="23" xfId="3" applyFont="1" applyBorder="1"/>
    <xf numFmtId="165" fontId="7" fillId="0" borderId="23" xfId="1" applyNumberFormat="1" applyFont="1" applyBorder="1"/>
    <xf numFmtId="10" fontId="7" fillId="0" borderId="23" xfId="3" applyNumberFormat="1" applyFont="1" applyBorder="1"/>
    <xf numFmtId="165" fontId="7" fillId="0" borderId="26" xfId="1" applyNumberFormat="1" applyFont="1" applyBorder="1"/>
    <xf numFmtId="0" fontId="15" fillId="0" borderId="21" xfId="0" applyFont="1" applyBorder="1" applyAlignment="1">
      <alignment horizontal="right"/>
    </xf>
    <xf numFmtId="165" fontId="7" fillId="0" borderId="4" xfId="1" applyNumberFormat="1" applyFont="1" applyBorder="1"/>
    <xf numFmtId="165" fontId="7" fillId="0" borderId="21" xfId="1" applyNumberFormat="1" applyFont="1" applyFill="1" applyBorder="1"/>
    <xf numFmtId="9" fontId="7" fillId="0" borderId="23" xfId="3" applyFont="1" applyFill="1" applyBorder="1"/>
    <xf numFmtId="171" fontId="7" fillId="0" borderId="0" xfId="0" applyNumberFormat="1" applyFont="1" applyAlignment="1">
      <alignment horizontal="right"/>
    </xf>
    <xf numFmtId="9" fontId="7" fillId="0" borderId="4" xfId="3" applyFont="1" applyFill="1" applyBorder="1"/>
    <xf numFmtId="0" fontId="7" fillId="0" borderId="21" xfId="0" applyFont="1" applyBorder="1" applyAlignment="1">
      <alignment horizontal="right"/>
    </xf>
    <xf numFmtId="165" fontId="7" fillId="0" borderId="24" xfId="1" applyNumberFormat="1" applyFont="1" applyFill="1" applyBorder="1"/>
    <xf numFmtId="9" fontId="7" fillId="0" borderId="6" xfId="3" applyFont="1" applyFill="1" applyBorder="1"/>
    <xf numFmtId="165" fontId="7" fillId="0" borderId="25" xfId="1" applyNumberFormat="1" applyFont="1" applyFill="1" applyBorder="1"/>
    <xf numFmtId="165" fontId="7" fillId="0" borderId="24" xfId="1" applyNumberFormat="1" applyFont="1" applyBorder="1"/>
    <xf numFmtId="165" fontId="7" fillId="0" borderId="6" xfId="1" applyNumberFormat="1" applyFont="1" applyBorder="1"/>
    <xf numFmtId="165" fontId="7" fillId="0" borderId="0" xfId="1" applyNumberFormat="1" applyFont="1" applyFill="1" applyBorder="1"/>
    <xf numFmtId="0" fontId="15" fillId="7" borderId="0" xfId="0" applyFont="1" applyFill="1" applyAlignment="1">
      <alignment horizontal="right"/>
    </xf>
    <xf numFmtId="165" fontId="15" fillId="7" borderId="0" xfId="1" applyNumberFormat="1" applyFont="1" applyFill="1"/>
    <xf numFmtId="165" fontId="15" fillId="7" borderId="0" xfId="1" applyNumberFormat="1" applyFont="1" applyFill="1" applyBorder="1"/>
    <xf numFmtId="165" fontId="15" fillId="7" borderId="7" xfId="1" applyNumberFormat="1" applyFont="1" applyFill="1" applyBorder="1"/>
    <xf numFmtId="165" fontId="15" fillId="0" borderId="0" xfId="1" applyNumberFormat="1" applyFont="1"/>
    <xf numFmtId="165" fontId="15" fillId="0" borderId="0" xfId="1" applyNumberFormat="1" applyFont="1" applyFill="1" applyBorder="1"/>
    <xf numFmtId="0" fontId="63" fillId="0" borderId="0" xfId="0" applyFont="1"/>
    <xf numFmtId="165" fontId="7" fillId="0" borderId="0" xfId="0" applyNumberFormat="1" applyFont="1"/>
    <xf numFmtId="165" fontId="7" fillId="0" borderId="0" xfId="1" applyNumberFormat="1" applyFont="1" applyBorder="1"/>
    <xf numFmtId="0" fontId="15" fillId="0" borderId="0" xfId="0" applyFont="1" applyFill="1" applyBorder="1"/>
    <xf numFmtId="0" fontId="7" fillId="0" borderId="0" xfId="0" applyFont="1" applyFill="1" applyBorder="1"/>
    <xf numFmtId="0" fontId="7" fillId="0" borderId="0" xfId="0" applyFont="1" applyBorder="1"/>
    <xf numFmtId="0" fontId="11" fillId="0" borderId="0" xfId="0" applyFont="1" applyAlignment="1">
      <alignment horizontal="center" vertical="center" wrapText="1"/>
    </xf>
    <xf numFmtId="164" fontId="13" fillId="0" borderId="0" xfId="0" applyNumberFormat="1" applyFont="1" applyFill="1" applyBorder="1" applyAlignment="1">
      <alignment horizontal="center"/>
    </xf>
    <xf numFmtId="0" fontId="0" fillId="0" borderId="0" xfId="0" applyBorder="1"/>
    <xf numFmtId="0" fontId="0" fillId="0" borderId="0" xfId="0" applyFont="1"/>
    <xf numFmtId="165" fontId="10" fillId="0" borderId="0" xfId="1" applyNumberFormat="1" applyFont="1" applyFill="1" applyBorder="1"/>
    <xf numFmtId="5" fontId="10" fillId="0" borderId="67" xfId="2" applyNumberFormat="1" applyFont="1" applyBorder="1" applyAlignment="1"/>
    <xf numFmtId="0" fontId="24" fillId="0" borderId="0" xfId="0" applyFont="1" applyBorder="1" applyAlignment="1">
      <alignment horizontal="center"/>
    </xf>
    <xf numFmtId="5" fontId="25" fillId="0" borderId="0" xfId="2" applyNumberFormat="1" applyFont="1" applyBorder="1"/>
    <xf numFmtId="5" fontId="25" fillId="0" borderId="0" xfId="2" applyNumberFormat="1" applyFont="1" applyFill="1" applyBorder="1"/>
    <xf numFmtId="5" fontId="25" fillId="0" borderId="0" xfId="2" applyNumberFormat="1" applyFont="1" applyBorder="1" applyAlignment="1"/>
    <xf numFmtId="5" fontId="25" fillId="0" borderId="0" xfId="2" applyNumberFormat="1" applyFont="1" applyFill="1" applyBorder="1" applyAlignment="1"/>
    <xf numFmtId="0" fontId="22" fillId="31" borderId="0" xfId="0" applyFont="1" applyFill="1"/>
    <xf numFmtId="0" fontId="0" fillId="31" borderId="0" xfId="0" applyFill="1"/>
    <xf numFmtId="0" fontId="0" fillId="0" borderId="0" xfId="0" applyFill="1" applyBorder="1"/>
    <xf numFmtId="0" fontId="59" fillId="2" borderId="43" xfId="0" applyFont="1" applyFill="1" applyBorder="1" applyAlignment="1">
      <alignment horizontal="right" wrapText="1"/>
    </xf>
    <xf numFmtId="0" fontId="15" fillId="0" borderId="61" xfId="0" applyFont="1" applyFill="1" applyBorder="1" applyAlignment="1">
      <alignment horizontal="center" wrapText="1"/>
    </xf>
    <xf numFmtId="0" fontId="15" fillId="0" borderId="44" xfId="0" applyFont="1" applyFill="1" applyBorder="1" applyAlignment="1">
      <alignment horizontal="center" wrapText="1"/>
    </xf>
    <xf numFmtId="172" fontId="15" fillId="0" borderId="44" xfId="0" applyNumberFormat="1" applyFont="1" applyFill="1" applyBorder="1" applyAlignment="1">
      <alignment horizontal="center" wrapText="1"/>
    </xf>
    <xf numFmtId="0" fontId="15" fillId="0" borderId="44" xfId="0" applyFont="1" applyFill="1" applyBorder="1" applyAlignment="1" applyProtection="1">
      <alignment horizontal="center" wrapText="1"/>
      <protection locked="0"/>
    </xf>
    <xf numFmtId="0" fontId="8" fillId="0" borderId="63" xfId="0" applyFont="1" applyFill="1" applyBorder="1" applyAlignment="1">
      <alignment horizontal="center"/>
    </xf>
    <xf numFmtId="3" fontId="60" fillId="0" borderId="50" xfId="0" applyNumberFormat="1" applyFont="1" applyFill="1" applyBorder="1"/>
    <xf numFmtId="172" fontId="15" fillId="0" borderId="50" xfId="3" applyNumberFormat="1" applyFont="1" applyFill="1" applyBorder="1"/>
    <xf numFmtId="0" fontId="54" fillId="0" borderId="65" xfId="0" applyFont="1" applyFill="1" applyBorder="1" applyAlignment="1">
      <alignment horizontal="right"/>
    </xf>
    <xf numFmtId="3" fontId="54" fillId="0" borderId="26" xfId="0" applyNumberFormat="1" applyFont="1" applyFill="1" applyBorder="1"/>
    <xf numFmtId="172" fontId="54" fillId="0" borderId="26" xfId="3" applyNumberFormat="1" applyFont="1" applyFill="1" applyBorder="1"/>
    <xf numFmtId="3" fontId="54" fillId="0" borderId="26" xfId="3" applyNumberFormat="1" applyFont="1" applyFill="1" applyBorder="1"/>
    <xf numFmtId="172" fontId="15" fillId="0" borderId="26" xfId="3" applyNumberFormat="1" applyFont="1" applyFill="1" applyBorder="1"/>
    <xf numFmtId="3" fontId="54" fillId="0" borderId="26" xfId="0" applyNumberFormat="1" applyFont="1" applyFill="1" applyBorder="1" applyProtection="1">
      <protection locked="0"/>
    </xf>
    <xf numFmtId="0" fontId="0" fillId="0" borderId="0" xfId="0" applyFill="1" applyAlignment="1">
      <alignment horizontal="center"/>
    </xf>
    <xf numFmtId="0" fontId="0" fillId="0" borderId="0" xfId="0" applyFill="1"/>
    <xf numFmtId="172" fontId="0" fillId="0" borderId="0" xfId="0" applyNumberFormat="1" applyFill="1"/>
    <xf numFmtId="0" fontId="15" fillId="0" borderId="63" xfId="0" applyFont="1" applyFill="1" applyBorder="1" applyAlignment="1">
      <alignment horizontal="center" wrapText="1"/>
    </xf>
    <xf numFmtId="172" fontId="15" fillId="0" borderId="64" xfId="0" applyNumberFormat="1" applyFont="1" applyFill="1" applyBorder="1" applyAlignment="1">
      <alignment horizontal="center" wrapText="1"/>
    </xf>
    <xf numFmtId="172" fontId="15" fillId="0" borderId="64" xfId="3" applyNumberFormat="1" applyFont="1" applyFill="1" applyBorder="1"/>
    <xf numFmtId="172" fontId="54" fillId="0" borderId="66" xfId="3" applyNumberFormat="1" applyFont="1" applyFill="1" applyBorder="1"/>
    <xf numFmtId="5" fontId="0" fillId="0" borderId="21" xfId="2" applyNumberFormat="1" applyFont="1" applyBorder="1" applyAlignment="1">
      <alignment horizontal="center"/>
    </xf>
    <xf numFmtId="0" fontId="11" fillId="34" borderId="1" xfId="0" applyFont="1" applyFill="1" applyBorder="1" applyAlignment="1">
      <alignment horizontal="center" wrapText="1"/>
    </xf>
    <xf numFmtId="0" fontId="11" fillId="34" borderId="1" xfId="0" applyFont="1" applyFill="1" applyBorder="1" applyAlignment="1">
      <alignment horizontal="center"/>
    </xf>
    <xf numFmtId="0" fontId="11" fillId="34" borderId="67" xfId="0" applyFont="1" applyFill="1" applyBorder="1" applyAlignment="1">
      <alignment horizontal="center" wrapText="1"/>
    </xf>
    <xf numFmtId="0" fontId="0" fillId="34" borderId="1" xfId="0" applyFill="1" applyBorder="1" applyAlignment="1">
      <alignment horizontal="center"/>
    </xf>
    <xf numFmtId="0" fontId="22" fillId="0" borderId="0" xfId="0" applyFont="1"/>
    <xf numFmtId="172" fontId="15" fillId="0" borderId="62" xfId="0" applyNumberFormat="1" applyFont="1" applyFill="1" applyBorder="1" applyAlignment="1">
      <alignment horizontal="center" wrapText="1"/>
    </xf>
    <xf numFmtId="3" fontId="15" fillId="0" borderId="59" xfId="3" applyNumberFormat="1" applyFont="1" applyFill="1" applyBorder="1"/>
    <xf numFmtId="172" fontId="15" fillId="0" borderId="59" xfId="3" applyNumberFormat="1" applyFont="1" applyFill="1" applyBorder="1"/>
    <xf numFmtId="3" fontId="60" fillId="0" borderId="59" xfId="0" applyNumberFormat="1" applyFont="1" applyFill="1" applyBorder="1"/>
    <xf numFmtId="172" fontId="0" fillId="0" borderId="0" xfId="0" applyNumberFormat="1" applyFill="1" applyBorder="1"/>
    <xf numFmtId="172" fontId="0" fillId="0" borderId="70" xfId="0" applyNumberFormat="1" applyFill="1" applyBorder="1"/>
    <xf numFmtId="0" fontId="0" fillId="0" borderId="71" xfId="0" applyFill="1" applyBorder="1" applyAlignment="1">
      <alignment horizontal="center"/>
    </xf>
    <xf numFmtId="0" fontId="0" fillId="0" borderId="72" xfId="0" applyFill="1" applyBorder="1"/>
    <xf numFmtId="172" fontId="0" fillId="0" borderId="72" xfId="0" applyNumberFormat="1" applyFill="1" applyBorder="1"/>
    <xf numFmtId="0" fontId="0" fillId="0" borderId="0" xfId="0" applyAlignment="1">
      <alignment horizontal="right"/>
    </xf>
    <xf numFmtId="3" fontId="0" fillId="0" borderId="0" xfId="0" applyNumberFormat="1"/>
    <xf numFmtId="3" fontId="11" fillId="0" borderId="0" xfId="0" applyNumberFormat="1" applyFont="1"/>
    <xf numFmtId="3" fontId="0" fillId="0" borderId="0" xfId="0" applyNumberFormat="1" applyFont="1"/>
    <xf numFmtId="9" fontId="0" fillId="0" borderId="0" xfId="0" applyNumberFormat="1"/>
    <xf numFmtId="171" fontId="0" fillId="0" borderId="0" xfId="0" applyNumberFormat="1"/>
    <xf numFmtId="173" fontId="0" fillId="0" borderId="0" xfId="0" applyNumberFormat="1" applyAlignment="1">
      <alignment horizontal="center"/>
    </xf>
    <xf numFmtId="6" fontId="11" fillId="0" borderId="0" xfId="0" applyNumberFormat="1" applyFont="1"/>
    <xf numFmtId="0" fontId="65" fillId="2" borderId="1" xfId="0" applyFont="1" applyFill="1" applyBorder="1" applyAlignment="1">
      <alignment horizontal="center" wrapText="1"/>
    </xf>
    <xf numFmtId="165" fontId="64" fillId="0" borderId="0" xfId="1" applyNumberFormat="1" applyFont="1"/>
    <xf numFmtId="10" fontId="64" fillId="0" borderId="0" xfId="3" applyNumberFormat="1" applyFont="1"/>
    <xf numFmtId="0" fontId="57" fillId="0" borderId="77" xfId="95" applyFont="1" applyBorder="1" applyAlignment="1">
      <alignment wrapText="1"/>
    </xf>
    <xf numFmtId="0" fontId="68" fillId="0" borderId="71" xfId="95" applyFont="1" applyBorder="1" applyAlignment="1">
      <alignment horizontal="center"/>
    </xf>
    <xf numFmtId="0" fontId="68" fillId="0" borderId="72" xfId="95" applyFont="1" applyBorder="1" applyAlignment="1">
      <alignment horizontal="center" wrapText="1"/>
    </xf>
    <xf numFmtId="0" fontId="68" fillId="0" borderId="78" xfId="95" quotePrefix="1" applyFont="1" applyFill="1" applyBorder="1" applyAlignment="1">
      <alignment horizontal="center"/>
    </xf>
    <xf numFmtId="0" fontId="27" fillId="0" borderId="0" xfId="95" applyFont="1" applyBorder="1"/>
    <xf numFmtId="0" fontId="27" fillId="0" borderId="0" xfId="95" applyFont="1"/>
    <xf numFmtId="0" fontId="57" fillId="32" borderId="79" xfId="95" applyFont="1" applyFill="1" applyBorder="1" applyAlignment="1">
      <alignment horizontal="center" vertical="center"/>
    </xf>
    <xf numFmtId="0" fontId="26" fillId="35" borderId="80" xfId="95" applyFont="1" applyFill="1" applyBorder="1" applyAlignment="1">
      <alignment horizontal="center"/>
    </xf>
    <xf numFmtId="171" fontId="26" fillId="35" borderId="4" xfId="43" applyNumberFormat="1" applyFont="1" applyFill="1" applyBorder="1"/>
    <xf numFmtId="171" fontId="26" fillId="35" borderId="81" xfId="95" applyNumberFormat="1" applyFont="1" applyFill="1" applyBorder="1"/>
    <xf numFmtId="171" fontId="26" fillId="35" borderId="64" xfId="95" applyNumberFormat="1" applyFont="1" applyFill="1" applyBorder="1"/>
    <xf numFmtId="0" fontId="57" fillId="31" borderId="79" xfId="95" applyFont="1" applyFill="1" applyBorder="1" applyAlignment="1">
      <alignment horizontal="center" vertical="center"/>
    </xf>
    <xf numFmtId="0" fontId="26" fillId="0" borderId="63" xfId="95" applyFont="1" applyBorder="1" applyAlignment="1">
      <alignment horizontal="center"/>
    </xf>
    <xf numFmtId="171" fontId="26" fillId="0" borderId="59" xfId="43" applyNumberFormat="1" applyFont="1" applyBorder="1"/>
    <xf numFmtId="171" fontId="26" fillId="0" borderId="64" xfId="95" applyNumberFormat="1" applyFont="1" applyFill="1" applyBorder="1"/>
    <xf numFmtId="0" fontId="27" fillId="0" borderId="0" xfId="95" applyFont="1" applyBorder="1" applyAlignment="1">
      <alignment horizontal="center"/>
    </xf>
    <xf numFmtId="0" fontId="26" fillId="35" borderId="63" xfId="95" applyFont="1" applyFill="1" applyBorder="1" applyAlignment="1">
      <alignment horizontal="center"/>
    </xf>
    <xf numFmtId="171" fontId="26" fillId="35" borderId="59" xfId="43" applyNumberFormat="1" applyFont="1" applyFill="1" applyBorder="1"/>
    <xf numFmtId="0" fontId="57" fillId="0" borderId="79" xfId="95" applyFont="1" applyFill="1" applyBorder="1" applyAlignment="1">
      <alignment horizontal="center" vertical="center"/>
    </xf>
    <xf numFmtId="0" fontId="26" fillId="31" borderId="63" xfId="95" applyFont="1" applyFill="1" applyBorder="1" applyAlignment="1">
      <alignment horizontal="center"/>
    </xf>
    <xf numFmtId="0" fontId="26" fillId="0" borderId="63" xfId="95" applyFont="1" applyFill="1" applyBorder="1" applyAlignment="1">
      <alignment horizontal="center"/>
    </xf>
    <xf numFmtId="171" fontId="26" fillId="0" borderId="59" xfId="43" applyNumberFormat="1" applyFont="1" applyFill="1" applyBorder="1"/>
    <xf numFmtId="0" fontId="26" fillId="35" borderId="82" xfId="95" applyFont="1" applyFill="1" applyBorder="1" applyAlignment="1">
      <alignment horizontal="center"/>
    </xf>
    <xf numFmtId="171" fontId="26" fillId="35" borderId="49" xfId="43" applyNumberFormat="1" applyFont="1" applyFill="1" applyBorder="1"/>
    <xf numFmtId="171" fontId="26" fillId="35" borderId="83" xfId="95" applyNumberFormat="1" applyFont="1" applyFill="1" applyBorder="1"/>
    <xf numFmtId="0" fontId="27" fillId="0" borderId="84" xfId="95" applyFont="1" applyBorder="1"/>
    <xf numFmtId="0" fontId="68" fillId="0" borderId="85" xfId="95" applyFont="1" applyBorder="1"/>
    <xf numFmtId="171" fontId="68" fillId="0" borderId="75" xfId="43" applyNumberFormat="1" applyFont="1" applyBorder="1"/>
    <xf numFmtId="171" fontId="68" fillId="0" borderId="73" xfId="43" applyNumberFormat="1" applyFont="1" applyBorder="1"/>
    <xf numFmtId="171" fontId="68" fillId="0" borderId="76" xfId="95" applyNumberFormat="1" applyFont="1" applyFill="1" applyBorder="1"/>
    <xf numFmtId="0" fontId="26" fillId="0" borderId="0" xfId="95" applyFont="1"/>
    <xf numFmtId="171" fontId="26" fillId="0" borderId="0" xfId="95" applyNumberFormat="1" applyFont="1" applyBorder="1"/>
    <xf numFmtId="40" fontId="27" fillId="0" borderId="0" xfId="95" applyNumberFormat="1" applyFont="1" applyFill="1" applyBorder="1"/>
    <xf numFmtId="0" fontId="27" fillId="0" borderId="0" xfId="95" applyFont="1" applyFill="1" applyBorder="1"/>
    <xf numFmtId="0" fontId="69" fillId="0" borderId="0" xfId="95" applyFont="1" applyFill="1" applyBorder="1"/>
    <xf numFmtId="0" fontId="70" fillId="0" borderId="0" xfId="95" applyFont="1" applyFill="1" applyBorder="1"/>
    <xf numFmtId="4" fontId="27" fillId="0" borderId="0" xfId="95" applyNumberFormat="1" applyFont="1" applyFill="1" applyBorder="1"/>
    <xf numFmtId="0" fontId="71" fillId="0" borderId="0" xfId="95" applyFont="1" applyFill="1" applyBorder="1"/>
    <xf numFmtId="0" fontId="72" fillId="0" borderId="0" xfId="95" applyFont="1" applyFill="1" applyBorder="1"/>
    <xf numFmtId="0" fontId="27" fillId="0" borderId="0" xfId="95" applyFont="1" applyFill="1"/>
    <xf numFmtId="5" fontId="0" fillId="0" borderId="48" xfId="2" applyNumberFormat="1" applyFont="1" applyBorder="1" applyAlignment="1">
      <alignment horizontal="center"/>
    </xf>
    <xf numFmtId="5" fontId="0" fillId="0" borderId="2" xfId="0" applyNumberFormat="1" applyBorder="1"/>
    <xf numFmtId="0" fontId="11" fillId="34" borderId="48" xfId="0" applyFont="1" applyFill="1" applyBorder="1" applyAlignment="1">
      <alignment horizontal="center"/>
    </xf>
    <xf numFmtId="5" fontId="0" fillId="0" borderId="48" xfId="0" applyNumberFormat="1" applyBorder="1"/>
    <xf numFmtId="0" fontId="11" fillId="34" borderId="2" xfId="0" applyFont="1" applyFill="1" applyBorder="1" applyAlignment="1">
      <alignment horizontal="center"/>
    </xf>
    <xf numFmtId="166" fontId="11" fillId="0" borderId="2" xfId="2" applyNumberFormat="1" applyFont="1" applyFill="1" applyBorder="1"/>
    <xf numFmtId="5" fontId="0" fillId="0" borderId="48" xfId="2" applyNumberFormat="1" applyFont="1" applyBorder="1"/>
    <xf numFmtId="0" fontId="11" fillId="0" borderId="86" xfId="0" applyFont="1" applyBorder="1" applyAlignment="1">
      <alignment horizontal="center"/>
    </xf>
    <xf numFmtId="3" fontId="13" fillId="0" borderId="0" xfId="0" applyNumberFormat="1" applyFont="1" applyFill="1" applyBorder="1"/>
    <xf numFmtId="164" fontId="17" fillId="0" borderId="0" xfId="4" applyFont="1" applyFill="1" applyAlignment="1">
      <alignment horizontal="center" vertical="top"/>
    </xf>
    <xf numFmtId="164" fontId="20" fillId="0" borderId="0" xfId="4" applyFont="1" applyFill="1" applyAlignment="1">
      <alignment horizontal="center" vertical="top"/>
    </xf>
    <xf numFmtId="164" fontId="17" fillId="0" borderId="0" xfId="4" applyFont="1" applyFill="1" applyAlignment="1">
      <alignment horizontal="center"/>
    </xf>
    <xf numFmtId="3" fontId="20" fillId="5" borderId="0" xfId="4" applyNumberFormat="1" applyFont="1" applyFill="1" applyAlignment="1"/>
    <xf numFmtId="3" fontId="20" fillId="0" borderId="28" xfId="4" applyNumberFormat="1" applyFont="1" applyFill="1" applyBorder="1"/>
    <xf numFmtId="164" fontId="17" fillId="0" borderId="28" xfId="4" applyFont="1" applyFill="1" applyBorder="1"/>
    <xf numFmtId="164" fontId="20" fillId="0" borderId="28" xfId="4" applyFont="1" applyFill="1" applyBorder="1"/>
    <xf numFmtId="0" fontId="20" fillId="0" borderId="0" xfId="0" applyFont="1" applyAlignment="1"/>
    <xf numFmtId="0" fontId="17" fillId="0" borderId="0" xfId="0" applyFont="1" applyFill="1" applyBorder="1" applyAlignment="1">
      <alignment horizontal="left"/>
    </xf>
    <xf numFmtId="164" fontId="20" fillId="36" borderId="28" xfId="4" applyFont="1" applyFill="1" applyBorder="1"/>
    <xf numFmtId="164" fontId="17" fillId="36" borderId="28" xfId="4" applyFont="1" applyFill="1" applyBorder="1"/>
    <xf numFmtId="3" fontId="20" fillId="36" borderId="28" xfId="4" applyNumberFormat="1" applyFont="1" applyFill="1" applyBorder="1"/>
    <xf numFmtId="164" fontId="20" fillId="36" borderId="59" xfId="4" applyFont="1" applyFill="1" applyBorder="1"/>
    <xf numFmtId="164" fontId="17" fillId="36" borderId="59" xfId="4" applyFont="1" applyFill="1" applyBorder="1"/>
    <xf numFmtId="3" fontId="20" fillId="36" borderId="59" xfId="4" applyNumberFormat="1" applyFont="1" applyFill="1" applyBorder="1"/>
    <xf numFmtId="164" fontId="20" fillId="0" borderId="59" xfId="4" applyFont="1" applyFill="1" applyBorder="1"/>
    <xf numFmtId="164" fontId="17" fillId="0" borderId="59" xfId="4" applyFont="1" applyFill="1" applyBorder="1"/>
    <xf numFmtId="3" fontId="20" fillId="0" borderId="59" xfId="4" applyNumberFormat="1" applyFont="1" applyFill="1" applyBorder="1"/>
    <xf numFmtId="0" fontId="74" fillId="0" borderId="0" xfId="0" applyFont="1" applyAlignment="1">
      <alignment horizontal="left" vertical="center"/>
    </xf>
    <xf numFmtId="0" fontId="0" fillId="0" borderId="0" xfId="0" applyAlignment="1">
      <alignment vertical="center"/>
    </xf>
    <xf numFmtId="0" fontId="74" fillId="0" borderId="0" xfId="0" applyFont="1" applyAlignment="1">
      <alignment vertical="center"/>
    </xf>
    <xf numFmtId="0" fontId="75" fillId="0" borderId="0" xfId="0" applyFont="1" applyAlignment="1">
      <alignment vertical="center"/>
    </xf>
    <xf numFmtId="0" fontId="73" fillId="0" borderId="0" xfId="0" applyFont="1" applyAlignment="1">
      <alignment vertical="center"/>
    </xf>
    <xf numFmtId="0" fontId="0" fillId="37" borderId="0" xfId="0" applyFill="1" applyAlignment="1">
      <alignment horizontal="left" vertical="center" indent="1"/>
    </xf>
    <xf numFmtId="0" fontId="73" fillId="0" borderId="89" xfId="0" applyFont="1" applyBorder="1" applyAlignment="1">
      <alignment horizontal="left" vertical="center" indent="1"/>
    </xf>
    <xf numFmtId="0" fontId="23" fillId="0" borderId="89" xfId="12" applyBorder="1" applyAlignment="1">
      <alignment horizontal="left" vertical="center" indent="1"/>
    </xf>
    <xf numFmtId="0" fontId="76" fillId="0" borderId="89" xfId="0" applyFont="1" applyBorder="1" applyAlignment="1">
      <alignment horizontal="left" vertical="center" indent="1"/>
    </xf>
    <xf numFmtId="0" fontId="77" fillId="0" borderId="89" xfId="0" applyFont="1" applyBorder="1" applyAlignment="1">
      <alignment horizontal="left" vertical="center" indent="1"/>
    </xf>
    <xf numFmtId="0" fontId="0" fillId="0" borderId="0" xfId="0" applyAlignment="1">
      <alignment horizontal="left" vertical="center" indent="2"/>
    </xf>
    <xf numFmtId="0" fontId="23" fillId="0" borderId="0" xfId="12" applyAlignment="1">
      <alignment horizontal="left" vertical="center" indent="2"/>
    </xf>
    <xf numFmtId="0" fontId="73" fillId="0" borderId="90" xfId="0" applyFont="1" applyBorder="1" applyAlignment="1">
      <alignment vertical="center"/>
    </xf>
    <xf numFmtId="0" fontId="23" fillId="0" borderId="91" xfId="12" applyBorder="1" applyAlignment="1">
      <alignment horizontal="left" vertical="center" indent="1"/>
    </xf>
    <xf numFmtId="0" fontId="78" fillId="0" borderId="0" xfId="0" applyFont="1" applyAlignment="1">
      <alignment vertical="center"/>
    </xf>
    <xf numFmtId="0" fontId="79" fillId="38" borderId="92" xfId="0" applyFont="1" applyFill="1" applyBorder="1" applyAlignment="1">
      <alignment horizontal="left" vertical="center" wrapText="1"/>
    </xf>
    <xf numFmtId="0" fontId="80" fillId="0" borderId="92" xfId="0" applyFont="1" applyBorder="1" applyAlignment="1">
      <alignment vertical="center" wrapText="1"/>
    </xf>
    <xf numFmtId="4" fontId="80" fillId="0" borderId="92" xfId="0" applyNumberFormat="1" applyFont="1" applyBorder="1" applyAlignment="1">
      <alignment horizontal="right" vertical="center" wrapText="1"/>
    </xf>
    <xf numFmtId="0" fontId="80" fillId="0" borderId="92" xfId="0" applyFont="1" applyBorder="1" applyAlignment="1">
      <alignment horizontal="right" vertical="center" wrapText="1"/>
    </xf>
    <xf numFmtId="0" fontId="0" fillId="0" borderId="0" xfId="0" applyAlignment="1">
      <alignment horizontal="left" vertical="center" indent="1"/>
    </xf>
    <xf numFmtId="0" fontId="77" fillId="0" borderId="0" xfId="0" applyFont="1" applyAlignment="1">
      <alignment horizontal="left" vertical="center" indent="1"/>
    </xf>
    <xf numFmtId="0" fontId="73" fillId="0" borderId="0" xfId="0" applyFont="1" applyAlignment="1">
      <alignment horizontal="left" vertical="center" indent="1"/>
    </xf>
    <xf numFmtId="0" fontId="5" fillId="0" borderId="21" xfId="0" applyFont="1" applyBorder="1"/>
    <xf numFmtId="0" fontId="5" fillId="0" borderId="21" xfId="0" applyFont="1" applyFill="1" applyBorder="1" applyAlignment="1">
      <alignment horizontal="right"/>
    </xf>
    <xf numFmtId="0" fontId="5" fillId="2" borderId="21" xfId="0" applyFont="1" applyFill="1" applyBorder="1" applyAlignment="1">
      <alignment horizontal="center" wrapText="1"/>
    </xf>
    <xf numFmtId="0" fontId="11" fillId="0" borderId="1" xfId="0" applyFont="1" applyFill="1" applyBorder="1" applyAlignment="1">
      <alignment horizontal="center"/>
    </xf>
    <xf numFmtId="5" fontId="13" fillId="0" borderId="1" xfId="2" applyNumberFormat="1" applyFont="1" applyFill="1" applyBorder="1" applyProtection="1">
      <protection locked="0"/>
    </xf>
    <xf numFmtId="5" fontId="13" fillId="0" borderId="1" xfId="2" applyNumberFormat="1" applyFont="1" applyFill="1" applyBorder="1" applyAlignment="1" applyProtection="1">
      <protection locked="0"/>
    </xf>
    <xf numFmtId="5" fontId="13" fillId="0" borderId="67" xfId="2" applyNumberFormat="1" applyFont="1" applyFill="1" applyBorder="1" applyAlignment="1" applyProtection="1">
      <protection locked="0"/>
    </xf>
    <xf numFmtId="5" fontId="0" fillId="0" borderId="1" xfId="0" applyNumberFormat="1" applyFill="1" applyBorder="1"/>
    <xf numFmtId="0" fontId="55" fillId="0" borderId="0" xfId="0" applyFont="1" applyFill="1"/>
    <xf numFmtId="0" fontId="22" fillId="0" borderId="0" xfId="0" applyFont="1" applyFill="1"/>
    <xf numFmtId="5" fontId="0" fillId="0" borderId="48" xfId="0" applyNumberFormat="1" applyFill="1" applyBorder="1"/>
    <xf numFmtId="166" fontId="0" fillId="0" borderId="0" xfId="0" applyNumberFormat="1"/>
    <xf numFmtId="10" fontId="0" fillId="0" borderId="0" xfId="0" applyNumberFormat="1"/>
    <xf numFmtId="42" fontId="0" fillId="0" borderId="0" xfId="0" applyNumberFormat="1"/>
    <xf numFmtId="165" fontId="0" fillId="0" borderId="0" xfId="1" applyNumberFormat="1" applyFont="1"/>
    <xf numFmtId="0" fontId="81" fillId="0" borderId="0" xfId="0" applyFont="1"/>
    <xf numFmtId="0" fontId="82" fillId="0" borderId="0" xfId="0" applyFont="1"/>
    <xf numFmtId="164" fontId="20" fillId="0" borderId="48" xfId="4" applyFont="1" applyFill="1" applyBorder="1"/>
    <xf numFmtId="171" fontId="11" fillId="0" borderId="42" xfId="1" applyNumberFormat="1" applyFont="1" applyBorder="1"/>
    <xf numFmtId="10" fontId="10" fillId="0" borderId="0" xfId="1" applyNumberFormat="1" applyFont="1"/>
    <xf numFmtId="42" fontId="0" fillId="0" borderId="0" xfId="0" applyNumberFormat="1" applyBorder="1"/>
    <xf numFmtId="171" fontId="10" fillId="0" borderId="59" xfId="1" applyNumberFormat="1" applyFont="1" applyBorder="1"/>
    <xf numFmtId="5" fontId="13" fillId="0" borderId="86" xfId="2" applyNumberFormat="1" applyFont="1" applyBorder="1"/>
    <xf numFmtId="166" fontId="14" fillId="2" borderId="86" xfId="2" applyNumberFormat="1" applyFont="1" applyFill="1" applyBorder="1"/>
    <xf numFmtId="5" fontId="13" fillId="0" borderId="87" xfId="2" applyNumberFormat="1" applyFont="1" applyBorder="1"/>
    <xf numFmtId="166" fontId="14" fillId="0" borderId="88" xfId="2" applyNumberFormat="1" applyFont="1" applyFill="1" applyBorder="1"/>
    <xf numFmtId="166" fontId="13" fillId="0" borderId="0" xfId="0" applyNumberFormat="1" applyFont="1"/>
    <xf numFmtId="10" fontId="59" fillId="0" borderId="0" xfId="0" applyNumberFormat="1" applyFont="1"/>
    <xf numFmtId="10" fontId="0" fillId="0" borderId="0" xfId="0" applyNumberFormat="1" applyFont="1"/>
    <xf numFmtId="10" fontId="11" fillId="0" borderId="0" xfId="0" applyNumberFormat="1" applyFont="1"/>
    <xf numFmtId="10" fontId="11" fillId="33" borderId="0" xfId="0" applyNumberFormat="1" applyFont="1" applyFill="1"/>
    <xf numFmtId="10" fontId="0" fillId="33" borderId="0" xfId="0" applyNumberFormat="1" applyFill="1"/>
    <xf numFmtId="165" fontId="10" fillId="0" borderId="94" xfId="1" applyNumberFormat="1" applyFont="1" applyBorder="1"/>
    <xf numFmtId="174" fontId="59" fillId="2" borderId="1" xfId="0" applyNumberFormat="1" applyFont="1" applyFill="1" applyBorder="1" applyAlignment="1">
      <alignment horizontal="center" wrapText="1"/>
    </xf>
    <xf numFmtId="174" fontId="10" fillId="0" borderId="0" xfId="3" applyNumberFormat="1" applyFont="1"/>
    <xf numFmtId="174" fontId="10" fillId="0" borderId="0" xfId="1" applyNumberFormat="1" applyFont="1"/>
    <xf numFmtId="174" fontId="11" fillId="0" borderId="0" xfId="1" applyNumberFormat="1" applyFont="1"/>
    <xf numFmtId="174" fontId="11" fillId="33" borderId="0" xfId="1" applyNumberFormat="1" applyFont="1" applyFill="1"/>
    <xf numFmtId="174" fontId="10" fillId="33" borderId="0" xfId="1" applyNumberFormat="1" applyFont="1" applyFill="1"/>
    <xf numFmtId="174" fontId="59" fillId="2" borderId="43" xfId="0" applyNumberFormat="1" applyFont="1" applyFill="1" applyBorder="1" applyAlignment="1">
      <alignment horizontal="center" wrapText="1"/>
    </xf>
    <xf numFmtId="41" fontId="10" fillId="0" borderId="59" xfId="1" applyNumberFormat="1" applyFont="1" applyBorder="1"/>
    <xf numFmtId="41" fontId="11" fillId="3" borderId="42" xfId="1" applyNumberFormat="1" applyFont="1" applyFill="1" applyBorder="1"/>
    <xf numFmtId="164" fontId="13" fillId="0" borderId="0" xfId="0" applyNumberFormat="1" applyFont="1" applyFill="1" applyBorder="1" applyAlignment="1">
      <alignment horizontal="center" wrapText="1"/>
    </xf>
    <xf numFmtId="0" fontId="14" fillId="0" borderId="1" xfId="0" applyFont="1" applyFill="1" applyBorder="1" applyAlignment="1">
      <alignment horizontal="center"/>
    </xf>
    <xf numFmtId="5" fontId="13" fillId="0" borderId="1" xfId="2" applyNumberFormat="1" applyFont="1" applyFill="1" applyBorder="1"/>
    <xf numFmtId="166" fontId="14" fillId="0" borderId="1" xfId="2" applyNumberFormat="1" applyFont="1" applyFill="1" applyBorder="1"/>
    <xf numFmtId="5" fontId="13" fillId="0" borderId="1" xfId="0" applyNumberFormat="1" applyFont="1" applyFill="1" applyBorder="1"/>
    <xf numFmtId="5" fontId="13" fillId="0" borderId="48" xfId="0" applyNumberFormat="1" applyFont="1" applyFill="1" applyBorder="1"/>
    <xf numFmtId="166" fontId="14" fillId="0" borderId="2" xfId="2" applyNumberFormat="1" applyFont="1" applyFill="1" applyBorder="1"/>
    <xf numFmtId="166" fontId="14" fillId="2" borderId="1" xfId="0" applyNumberFormat="1" applyFont="1" applyFill="1" applyBorder="1"/>
    <xf numFmtId="0" fontId="83" fillId="0" borderId="0" xfId="0" applyFont="1"/>
    <xf numFmtId="165" fontId="60" fillId="0" borderId="0" xfId="0" applyNumberFormat="1" applyFont="1" applyFill="1"/>
    <xf numFmtId="6" fontId="60" fillId="0" borderId="0" xfId="0" applyNumberFormat="1" applyFont="1" applyFill="1"/>
    <xf numFmtId="0" fontId="60" fillId="0" borderId="0" xfId="0" applyFont="1" applyFill="1"/>
    <xf numFmtId="44" fontId="60" fillId="0" borderId="0" xfId="0" applyNumberFormat="1" applyFont="1" applyFill="1"/>
    <xf numFmtId="3" fontId="20" fillId="0" borderId="48" xfId="4" applyNumberFormat="1" applyFont="1" applyFill="1" applyBorder="1" applyAlignment="1">
      <alignment horizontal="right"/>
    </xf>
    <xf numFmtId="3" fontId="17" fillId="0" borderId="59" xfId="0" applyNumberFormat="1" applyFont="1" applyFill="1" applyBorder="1"/>
    <xf numFmtId="164" fontId="20" fillId="0" borderId="59" xfId="4" applyNumberFormat="1" applyFont="1" applyFill="1" applyBorder="1"/>
    <xf numFmtId="164" fontId="17" fillId="0" borderId="0" xfId="4" applyFont="1" applyFill="1" applyBorder="1"/>
    <xf numFmtId="3" fontId="20" fillId="0" borderId="0" xfId="4" applyNumberFormat="1" applyFont="1" applyFill="1" applyBorder="1" applyAlignment="1"/>
    <xf numFmtId="3" fontId="20" fillId="0" borderId="48" xfId="4" applyNumberFormat="1" applyFont="1" applyFill="1" applyBorder="1"/>
    <xf numFmtId="164" fontId="20" fillId="0" borderId="0" xfId="4" applyFont="1" applyFill="1" applyBorder="1"/>
    <xf numFmtId="3" fontId="20" fillId="0" borderId="0" xfId="4" applyNumberFormat="1" applyFont="1" applyFill="1" applyBorder="1"/>
    <xf numFmtId="3" fontId="17" fillId="0" borderId="0" xfId="0" applyNumberFormat="1" applyFont="1" applyFill="1" applyBorder="1"/>
    <xf numFmtId="164" fontId="20" fillId="0" borderId="0" xfId="4" applyNumberFormat="1" applyFont="1" applyFill="1" applyBorder="1"/>
    <xf numFmtId="174" fontId="0" fillId="0" borderId="0" xfId="1" applyNumberFormat="1" applyFont="1"/>
    <xf numFmtId="0" fontId="15" fillId="0" borderId="59" xfId="0" applyFont="1" applyFill="1" applyBorder="1" applyAlignment="1">
      <alignment horizontal="center" wrapText="1"/>
    </xf>
    <xf numFmtId="172" fontId="15" fillId="0" borderId="59" xfId="0" applyNumberFormat="1" applyFont="1" applyFill="1" applyBorder="1" applyAlignment="1">
      <alignment horizontal="center" wrapText="1"/>
    </xf>
    <xf numFmtId="0" fontId="5" fillId="0" borderId="63" xfId="0" applyFont="1" applyFill="1" applyBorder="1" applyAlignment="1">
      <alignment horizontal="center"/>
    </xf>
    <xf numFmtId="0" fontId="11" fillId="0" borderId="0" xfId="0" applyFont="1" applyFill="1" applyBorder="1" applyAlignment="1">
      <alignment horizontal="right"/>
    </xf>
    <xf numFmtId="3" fontId="52" fillId="0" borderId="0" xfId="0" applyNumberFormat="1" applyFont="1"/>
    <xf numFmtId="0" fontId="11" fillId="0" borderId="49" xfId="0" applyFont="1" applyBorder="1" applyAlignment="1">
      <alignment horizontal="center"/>
    </xf>
    <xf numFmtId="0" fontId="14" fillId="0" borderId="59" xfId="0" applyFont="1" applyFill="1" applyBorder="1" applyAlignment="1">
      <alignment horizontal="center"/>
    </xf>
    <xf numFmtId="5" fontId="13" fillId="0" borderId="59" xfId="2" applyNumberFormat="1" applyFont="1" applyFill="1" applyBorder="1" applyProtection="1">
      <protection locked="0"/>
    </xf>
    <xf numFmtId="5" fontId="14" fillId="0" borderId="59" xfId="2" applyNumberFormat="1" applyFont="1" applyFill="1" applyBorder="1" applyAlignment="1" applyProtection="1">
      <protection locked="0"/>
    </xf>
    <xf numFmtId="5" fontId="14" fillId="0" borderId="67" xfId="2" applyNumberFormat="1" applyFont="1" applyFill="1" applyBorder="1" applyAlignment="1" applyProtection="1">
      <protection locked="0"/>
    </xf>
    <xf numFmtId="5" fontId="13" fillId="0" borderId="59" xfId="0" applyNumberFormat="1" applyFont="1" applyFill="1" applyBorder="1"/>
    <xf numFmtId="0" fontId="13" fillId="0" borderId="0" xfId="0" applyFont="1" applyFill="1"/>
    <xf numFmtId="172" fontId="0" fillId="0" borderId="42" xfId="3" applyNumberFormat="1" applyFont="1" applyBorder="1"/>
    <xf numFmtId="42" fontId="10" fillId="0" borderId="42" xfId="1" applyNumberFormat="1" applyFont="1" applyFill="1" applyBorder="1"/>
    <xf numFmtId="42" fontId="11" fillId="3" borderId="42" xfId="1" applyNumberFormat="1" applyFont="1" applyFill="1" applyBorder="1"/>
    <xf numFmtId="6" fontId="13" fillId="0" borderId="59" xfId="1" applyNumberFormat="1" applyFont="1" applyFill="1" applyBorder="1"/>
    <xf numFmtId="165" fontId="84" fillId="0" borderId="0" xfId="1" applyNumberFormat="1" applyFont="1" applyFill="1"/>
    <xf numFmtId="165" fontId="84" fillId="0" borderId="0" xfId="1" applyNumberFormat="1" applyFont="1"/>
    <xf numFmtId="165" fontId="13" fillId="0" borderId="0" xfId="0" applyNumberFormat="1" applyFont="1" applyFill="1"/>
    <xf numFmtId="0" fontId="13" fillId="0" borderId="0" xfId="0" applyFont="1" applyFill="1" applyBorder="1"/>
    <xf numFmtId="165" fontId="5" fillId="0" borderId="21" xfId="1" applyNumberFormat="1" applyFont="1" applyBorder="1"/>
    <xf numFmtId="6" fontId="13" fillId="0" borderId="0" xfId="0" applyNumberFormat="1" applyFont="1"/>
    <xf numFmtId="6" fontId="13" fillId="0" borderId="0" xfId="0" applyNumberFormat="1" applyFont="1" applyFill="1"/>
    <xf numFmtId="0" fontId="13" fillId="31" borderId="0" xfId="0" applyFont="1" applyFill="1"/>
    <xf numFmtId="5" fontId="13" fillId="0" borderId="59" xfId="2" applyNumberFormat="1" applyFont="1" applyFill="1" applyBorder="1" applyAlignment="1" applyProtection="1">
      <protection locked="0"/>
    </xf>
    <xf numFmtId="5" fontId="0" fillId="0" borderId="59" xfId="0" applyNumberFormat="1" applyFill="1" applyBorder="1"/>
    <xf numFmtId="165" fontId="10" fillId="0" borderId="59" xfId="1" applyNumberFormat="1" applyFont="1" applyBorder="1"/>
    <xf numFmtId="0" fontId="87" fillId="41" borderId="97" xfId="0" applyFont="1" applyFill="1" applyBorder="1" applyAlignment="1">
      <alignment horizontal="center" vertical="center" wrapText="1"/>
    </xf>
    <xf numFmtId="0" fontId="87" fillId="41" borderId="98" xfId="0" applyFont="1" applyFill="1" applyBorder="1" applyAlignment="1">
      <alignment horizontal="center" vertical="center" wrapText="1"/>
    </xf>
    <xf numFmtId="0" fontId="87" fillId="0" borderId="96" xfId="0" applyFont="1" applyBorder="1" applyAlignment="1">
      <alignment vertical="center"/>
    </xf>
    <xf numFmtId="0" fontId="87" fillId="0" borderId="98" xfId="0" applyFont="1" applyBorder="1" applyAlignment="1">
      <alignment vertical="center"/>
    </xf>
    <xf numFmtId="9" fontId="87" fillId="0" borderId="99" xfId="0" applyNumberFormat="1" applyFont="1" applyBorder="1" applyAlignment="1">
      <alignment horizontal="right" vertical="center"/>
    </xf>
    <xf numFmtId="0" fontId="87" fillId="0" borderId="99" xfId="0" applyFont="1" applyBorder="1" applyAlignment="1">
      <alignment vertical="center"/>
    </xf>
    <xf numFmtId="10" fontId="87" fillId="0" borderId="99" xfId="0" applyNumberFormat="1" applyFont="1" applyBorder="1" applyAlignment="1">
      <alignment horizontal="right" vertical="center"/>
    </xf>
    <xf numFmtId="0" fontId="87" fillId="0" borderId="100" xfId="0" applyFont="1" applyBorder="1" applyAlignment="1">
      <alignment vertical="center"/>
    </xf>
    <xf numFmtId="0" fontId="86" fillId="0" borderId="96" xfId="0" applyFont="1" applyBorder="1" applyAlignment="1">
      <alignment horizontal="right" vertical="center"/>
    </xf>
    <xf numFmtId="0" fontId="87" fillId="0" borderId="96" xfId="0" applyFont="1" applyBorder="1" applyAlignment="1">
      <alignment horizontal="right" vertical="center"/>
    </xf>
    <xf numFmtId="9" fontId="87" fillId="0" borderId="98" xfId="0" applyNumberFormat="1" applyFont="1" applyBorder="1" applyAlignment="1">
      <alignment horizontal="right" vertical="center"/>
    </xf>
    <xf numFmtId="0" fontId="87" fillId="0" borderId="102" xfId="0" applyFont="1" applyBorder="1" applyAlignment="1">
      <alignment vertical="center"/>
    </xf>
    <xf numFmtId="0" fontId="85" fillId="0" borderId="0" xfId="0" applyFont="1"/>
    <xf numFmtId="0" fontId="86" fillId="42" borderId="0" xfId="0" applyFont="1" applyFill="1" applyAlignment="1">
      <alignment horizontal="right" vertical="center"/>
    </xf>
    <xf numFmtId="0" fontId="86" fillId="42" borderId="0" xfId="0" applyFont="1" applyFill="1" applyAlignment="1">
      <alignment vertical="center"/>
    </xf>
    <xf numFmtId="0" fontId="86" fillId="42" borderId="103" xfId="0" applyFont="1" applyFill="1" applyBorder="1" applyAlignment="1">
      <alignment vertical="center"/>
    </xf>
    <xf numFmtId="0" fontId="86" fillId="0" borderId="0" xfId="0" applyFont="1" applyAlignment="1">
      <alignment vertical="center"/>
    </xf>
    <xf numFmtId="0" fontId="88" fillId="0" borderId="0" xfId="0" applyFont="1" applyAlignment="1">
      <alignment vertical="center"/>
    </xf>
    <xf numFmtId="0" fontId="86" fillId="0" borderId="104" xfId="0" applyFont="1" applyBorder="1" applyAlignment="1">
      <alignment vertical="center"/>
    </xf>
    <xf numFmtId="0" fontId="5" fillId="0" borderId="0" xfId="0" applyFont="1"/>
    <xf numFmtId="0" fontId="15" fillId="2" borderId="59" xfId="0" applyFont="1" applyFill="1" applyBorder="1" applyAlignment="1">
      <alignment horizontal="center" wrapText="1"/>
    </xf>
    <xf numFmtId="0" fontId="5" fillId="2" borderId="59" xfId="0" applyFont="1" applyFill="1" applyBorder="1" applyAlignment="1">
      <alignment horizontal="center" wrapText="1"/>
    </xf>
    <xf numFmtId="0" fontId="5" fillId="0" borderId="8" xfId="0" applyFont="1" applyBorder="1"/>
    <xf numFmtId="0" fontId="5" fillId="0" borderId="59" xfId="0" applyFont="1" applyBorder="1"/>
    <xf numFmtId="165" fontId="5" fillId="0" borderId="59" xfId="1" applyNumberFormat="1" applyFont="1" applyBorder="1"/>
    <xf numFmtId="9" fontId="5" fillId="0" borderId="49" xfId="3" applyFont="1" applyBorder="1"/>
    <xf numFmtId="9" fontId="5" fillId="0" borderId="23" xfId="3" applyFont="1" applyBorder="1"/>
    <xf numFmtId="165" fontId="5" fillId="0" borderId="23" xfId="1" applyNumberFormat="1" applyFont="1" applyBorder="1"/>
    <xf numFmtId="10" fontId="5" fillId="0" borderId="23" xfId="3" applyNumberFormat="1" applyFont="1" applyBorder="1"/>
    <xf numFmtId="165" fontId="5" fillId="0" borderId="26" xfId="1" applyNumberFormat="1" applyFont="1" applyBorder="1"/>
    <xf numFmtId="0" fontId="15" fillId="0" borderId="59" xfId="0" applyFont="1" applyBorder="1" applyAlignment="1">
      <alignment horizontal="right"/>
    </xf>
    <xf numFmtId="165" fontId="5" fillId="0" borderId="4" xfId="1" applyNumberFormat="1" applyFont="1" applyBorder="1"/>
    <xf numFmtId="0" fontId="5" fillId="0" borderId="59" xfId="0" applyFont="1" applyFill="1" applyBorder="1" applyAlignment="1">
      <alignment horizontal="right"/>
    </xf>
    <xf numFmtId="165" fontId="5" fillId="0" borderId="59" xfId="1" applyNumberFormat="1" applyFont="1" applyFill="1" applyBorder="1"/>
    <xf numFmtId="9" fontId="5" fillId="0" borderId="23" xfId="3" applyFont="1" applyFill="1" applyBorder="1"/>
    <xf numFmtId="171" fontId="5" fillId="0" borderId="0" xfId="0" applyNumberFormat="1" applyFont="1" applyAlignment="1">
      <alignment horizontal="right"/>
    </xf>
    <xf numFmtId="9" fontId="5" fillId="0" borderId="4" xfId="3" applyFont="1" applyFill="1" applyBorder="1"/>
    <xf numFmtId="0" fontId="5" fillId="0" borderId="59" xfId="0" applyFont="1" applyBorder="1" applyAlignment="1">
      <alignment horizontal="right"/>
    </xf>
    <xf numFmtId="165" fontId="5" fillId="0" borderId="48" xfId="1" applyNumberFormat="1" applyFont="1" applyFill="1" applyBorder="1"/>
    <xf numFmtId="9" fontId="5" fillId="0" borderId="6" xfId="3" applyFont="1" applyFill="1" applyBorder="1"/>
    <xf numFmtId="165" fontId="5" fillId="0" borderId="46" xfId="1" applyNumberFormat="1" applyFont="1" applyFill="1" applyBorder="1"/>
    <xf numFmtId="165" fontId="5" fillId="0" borderId="48" xfId="1" applyNumberFormat="1" applyFont="1" applyBorder="1"/>
    <xf numFmtId="165" fontId="5" fillId="0" borderId="6" xfId="1" applyNumberFormat="1" applyFont="1" applyBorder="1"/>
    <xf numFmtId="165" fontId="5" fillId="0" borderId="0" xfId="1" applyNumberFormat="1" applyFont="1"/>
    <xf numFmtId="165" fontId="5" fillId="0" borderId="0" xfId="1" applyNumberFormat="1" applyFont="1" applyFill="1" applyBorder="1"/>
    <xf numFmtId="6" fontId="13" fillId="0" borderId="0" xfId="0" applyNumberFormat="1" applyFont="1" applyFill="1" applyBorder="1" applyAlignment="1">
      <alignment horizontal="center" wrapText="1"/>
    </xf>
    <xf numFmtId="6" fontId="14" fillId="40" borderId="59" xfId="1" applyNumberFormat="1" applyFont="1" applyFill="1" applyBorder="1"/>
    <xf numFmtId="172" fontId="14" fillId="0" borderId="59" xfId="0" applyNumberFormat="1" applyFont="1" applyFill="1" applyBorder="1" applyAlignment="1">
      <alignment horizontal="center"/>
    </xf>
    <xf numFmtId="0" fontId="14" fillId="0" borderId="0" xfId="0" applyFont="1"/>
    <xf numFmtId="165" fontId="84" fillId="0" borderId="0" xfId="1" applyNumberFormat="1" applyFont="1" applyBorder="1"/>
    <xf numFmtId="9" fontId="84" fillId="0" borderId="0" xfId="1" applyNumberFormat="1" applyFont="1" applyBorder="1"/>
    <xf numFmtId="165" fontId="91" fillId="0" borderId="0" xfId="1" applyNumberFormat="1" applyFont="1" applyBorder="1"/>
    <xf numFmtId="165" fontId="13" fillId="0" borderId="0" xfId="1" applyNumberFormat="1" applyFont="1"/>
    <xf numFmtId="165" fontId="84" fillId="0" borderId="0" xfId="0" applyNumberFormat="1" applyFont="1"/>
    <xf numFmtId="0" fontId="91" fillId="0" borderId="0" xfId="0" applyFont="1" applyBorder="1" applyAlignment="1">
      <alignment horizontal="right"/>
    </xf>
    <xf numFmtId="0" fontId="93" fillId="0" borderId="0" xfId="0" applyFont="1" applyFill="1" applyBorder="1"/>
    <xf numFmtId="165" fontId="13" fillId="0" borderId="0" xfId="1" applyNumberFormat="1" applyFont="1" applyFill="1" applyBorder="1"/>
    <xf numFmtId="0" fontId="60" fillId="0" borderId="0" xfId="0" applyFont="1" applyFill="1" applyBorder="1"/>
    <xf numFmtId="164" fontId="60" fillId="0" borderId="0" xfId="0" applyNumberFormat="1" applyFont="1" applyFill="1" applyBorder="1" applyAlignment="1">
      <alignment horizontal="center" wrapText="1"/>
    </xf>
    <xf numFmtId="0" fontId="60" fillId="0" borderId="0" xfId="0" applyFont="1"/>
    <xf numFmtId="6" fontId="13" fillId="0" borderId="0" xfId="0" applyNumberFormat="1" applyFont="1" applyFill="1" applyBorder="1"/>
    <xf numFmtId="0" fontId="86" fillId="4" borderId="0" xfId="0" applyFont="1" applyFill="1" applyAlignment="1">
      <alignment vertical="center" wrapText="1"/>
    </xf>
    <xf numFmtId="165" fontId="7" fillId="4" borderId="0" xfId="1" applyNumberFormat="1" applyFont="1" applyFill="1"/>
    <xf numFmtId="0" fontId="62" fillId="0" borderId="0" xfId="0" applyFont="1"/>
    <xf numFmtId="165" fontId="62" fillId="0" borderId="0" xfId="1" applyNumberFormat="1" applyFont="1"/>
    <xf numFmtId="0" fontId="62" fillId="0" borderId="8" xfId="0" applyFont="1" applyBorder="1"/>
    <xf numFmtId="0" fontId="62" fillId="0" borderId="21" xfId="0" applyFont="1" applyBorder="1"/>
    <xf numFmtId="165" fontId="62" fillId="0" borderId="21" xfId="1" applyNumberFormat="1" applyFont="1" applyBorder="1"/>
    <xf numFmtId="165" fontId="62" fillId="0" borderId="26" xfId="1" applyNumberFormat="1" applyFont="1" applyBorder="1"/>
    <xf numFmtId="0" fontId="95" fillId="0" borderId="21" xfId="0" applyFont="1" applyBorder="1" applyAlignment="1">
      <alignment horizontal="right"/>
    </xf>
    <xf numFmtId="165" fontId="62" fillId="0" borderId="4" xfId="1" applyNumberFormat="1" applyFont="1" applyBorder="1"/>
    <xf numFmtId="0" fontId="62" fillId="0" borderId="21" xfId="0" applyFont="1" applyFill="1" applyBorder="1" applyAlignment="1">
      <alignment horizontal="right"/>
    </xf>
    <xf numFmtId="165" fontId="62" fillId="0" borderId="21" xfId="1" applyNumberFormat="1" applyFont="1" applyFill="1" applyBorder="1"/>
    <xf numFmtId="171" fontId="62" fillId="0" borderId="0" xfId="0" applyNumberFormat="1" applyFont="1" applyAlignment="1">
      <alignment horizontal="right"/>
    </xf>
    <xf numFmtId="0" fontId="62" fillId="0" borderId="21" xfId="0" applyFont="1" applyBorder="1" applyAlignment="1">
      <alignment horizontal="right"/>
    </xf>
    <xf numFmtId="165" fontId="62" fillId="0" borderId="24" xfId="1" applyNumberFormat="1" applyFont="1" applyFill="1" applyBorder="1"/>
    <xf numFmtId="9" fontId="62" fillId="0" borderId="6" xfId="3" applyFont="1" applyFill="1" applyBorder="1"/>
    <xf numFmtId="165" fontId="62" fillId="0" borderId="25" xfId="1" applyNumberFormat="1" applyFont="1" applyFill="1" applyBorder="1"/>
    <xf numFmtId="165" fontId="62" fillId="0" borderId="24" xfId="1" applyNumberFormat="1" applyFont="1" applyBorder="1"/>
    <xf numFmtId="165" fontId="62" fillId="0" borderId="6" xfId="1" applyNumberFormat="1" applyFont="1" applyBorder="1"/>
    <xf numFmtId="165" fontId="62" fillId="0" borderId="0" xfId="1" applyNumberFormat="1" applyFont="1" applyFill="1" applyBorder="1"/>
    <xf numFmtId="0" fontId="95" fillId="7" borderId="0" xfId="0" applyFont="1" applyFill="1" applyAlignment="1">
      <alignment horizontal="right"/>
    </xf>
    <xf numFmtId="165" fontId="95" fillId="7" borderId="0" xfId="1" applyNumberFormat="1" applyFont="1" applyFill="1"/>
    <xf numFmtId="165" fontId="95" fillId="7" borderId="0" xfId="1" applyNumberFormat="1" applyFont="1" applyFill="1" applyBorder="1"/>
    <xf numFmtId="165" fontId="95" fillId="7" borderId="7" xfId="1" applyNumberFormat="1" applyFont="1" applyFill="1" applyBorder="1"/>
    <xf numFmtId="0" fontId="95" fillId="0" borderId="0" xfId="0" applyFont="1"/>
    <xf numFmtId="0" fontId="97" fillId="4" borderId="0" xfId="0" applyFont="1" applyFill="1" applyAlignment="1">
      <alignment vertical="center" wrapText="1"/>
    </xf>
    <xf numFmtId="165" fontId="62" fillId="4" borderId="0" xfId="1" applyNumberFormat="1" applyFont="1" applyFill="1"/>
    <xf numFmtId="165" fontId="62" fillId="0" borderId="59" xfId="1" applyNumberFormat="1" applyFont="1" applyBorder="1"/>
    <xf numFmtId="0" fontId="98" fillId="0" borderId="0" xfId="0" applyFont="1" applyAlignment="1">
      <alignment horizontal="right" vertical="center"/>
    </xf>
    <xf numFmtId="9" fontId="62" fillId="0" borderId="59" xfId="3" applyFont="1" applyBorder="1"/>
    <xf numFmtId="10" fontId="62" fillId="0" borderId="59" xfId="3" applyNumberFormat="1" applyFont="1" applyBorder="1"/>
    <xf numFmtId="9" fontId="62" fillId="0" borderId="59" xfId="3" applyFont="1" applyFill="1" applyBorder="1"/>
    <xf numFmtId="0" fontId="62" fillId="0" borderId="0" xfId="0" applyFont="1" applyAlignment="1">
      <alignment horizontal="right"/>
    </xf>
    <xf numFmtId="165" fontId="62" fillId="0" borderId="0" xfId="0" applyNumberFormat="1" applyFont="1"/>
    <xf numFmtId="0" fontId="62" fillId="0" borderId="0" xfId="0" applyFont="1" applyAlignment="1">
      <alignment horizontal="center"/>
    </xf>
    <xf numFmtId="164" fontId="17" fillId="43" borderId="0" xfId="4" applyFont="1" applyFill="1"/>
    <xf numFmtId="0" fontId="11" fillId="4" borderId="59" xfId="0" applyFont="1" applyFill="1" applyBorder="1" applyAlignment="1">
      <alignment horizontal="center"/>
    </xf>
    <xf numFmtId="0" fontId="99" fillId="0" borderId="0" xfId="0" applyFont="1"/>
    <xf numFmtId="166" fontId="14" fillId="0" borderId="1" xfId="0" applyNumberFormat="1" applyFont="1" applyFill="1" applyBorder="1"/>
    <xf numFmtId="0" fontId="11" fillId="7" borderId="59" xfId="0" applyFont="1" applyFill="1" applyBorder="1" applyAlignment="1">
      <alignment horizontal="center"/>
    </xf>
    <xf numFmtId="164" fontId="20" fillId="0" borderId="28" xfId="4" applyNumberFormat="1" applyFont="1" applyFill="1" applyBorder="1"/>
    <xf numFmtId="164" fontId="20" fillId="0" borderId="45" xfId="4" applyFont="1" applyFill="1" applyBorder="1"/>
    <xf numFmtId="0" fontId="59" fillId="2" borderId="49" xfId="0" applyFont="1" applyFill="1" applyBorder="1" applyAlignment="1">
      <alignment horizontal="center" wrapText="1"/>
    </xf>
    <xf numFmtId="0" fontId="59" fillId="4" borderId="43" xfId="0" applyFont="1" applyFill="1" applyBorder="1" applyAlignment="1">
      <alignment horizontal="center" wrapText="1"/>
    </xf>
    <xf numFmtId="171" fontId="10" fillId="4" borderId="42" xfId="1" applyNumberFormat="1" applyFont="1" applyFill="1" applyBorder="1"/>
    <xf numFmtId="165" fontId="91" fillId="0" borderId="0" xfId="1" applyNumberFormat="1" applyFont="1" applyFill="1" applyBorder="1"/>
    <xf numFmtId="0" fontId="91" fillId="0" borderId="0" xfId="0" applyFont="1" applyFill="1" applyBorder="1" applyAlignment="1">
      <alignment horizontal="right"/>
    </xf>
    <xf numFmtId="0" fontId="83" fillId="0" borderId="0" xfId="0" applyFont="1" applyFill="1"/>
    <xf numFmtId="6" fontId="100" fillId="0" borderId="0" xfId="0" applyNumberFormat="1" applyFont="1" applyFill="1"/>
    <xf numFmtId="0" fontId="57" fillId="0" borderId="106" xfId="95" applyFont="1" applyBorder="1" applyAlignment="1">
      <alignment horizontal="center" wrapText="1"/>
    </xf>
    <xf numFmtId="0" fontId="26" fillId="0" borderId="82" xfId="95" applyFont="1" applyFill="1" applyBorder="1" applyAlignment="1">
      <alignment horizontal="center"/>
    </xf>
    <xf numFmtId="165" fontId="95" fillId="0" borderId="0" xfId="1" applyNumberFormat="1" applyFont="1" applyFill="1"/>
    <xf numFmtId="165" fontId="95" fillId="0" borderId="0" xfId="1" applyNumberFormat="1" applyFont="1" applyFill="1" applyBorder="1"/>
    <xf numFmtId="0" fontId="96" fillId="0" borderId="0" xfId="0" applyFont="1" applyAlignment="1">
      <alignment horizontal="right"/>
    </xf>
    <xf numFmtId="165" fontId="95" fillId="0" borderId="46" xfId="1" applyNumberFormat="1" applyFont="1" applyBorder="1"/>
    <xf numFmtId="0" fontId="101" fillId="0" borderId="107" xfId="0" applyFont="1" applyBorder="1" applyAlignment="1">
      <alignment vertical="center"/>
    </xf>
    <xf numFmtId="0" fontId="102" fillId="0" borderId="107" xfId="0" applyFont="1" applyBorder="1" applyAlignment="1">
      <alignment horizontal="center"/>
    </xf>
    <xf numFmtId="6" fontId="14" fillId="0" borderId="107" xfId="0" applyNumberFormat="1" applyFont="1" applyBorder="1"/>
    <xf numFmtId="0" fontId="13" fillId="0" borderId="0" xfId="0" applyFont="1" applyAlignment="1">
      <alignment horizontal="right"/>
    </xf>
    <xf numFmtId="0" fontId="13" fillId="0" borderId="0" xfId="0" applyFont="1" applyFill="1" applyAlignment="1">
      <alignment horizontal="right"/>
    </xf>
    <xf numFmtId="6" fontId="10" fillId="0" borderId="107" xfId="1" applyNumberFormat="1" applyFont="1" applyBorder="1"/>
    <xf numFmtId="0" fontId="59" fillId="44" borderId="0" xfId="0" applyFont="1" applyFill="1"/>
    <xf numFmtId="165" fontId="59" fillId="8" borderId="107" xfId="1" applyNumberFormat="1" applyFont="1" applyFill="1" applyBorder="1" applyAlignment="1">
      <alignment horizontal="center" wrapText="1"/>
    </xf>
    <xf numFmtId="0" fontId="59" fillId="0" borderId="0" xfId="0" applyFont="1" applyFill="1" applyBorder="1" applyAlignment="1">
      <alignment horizontal="center" wrapText="1"/>
    </xf>
    <xf numFmtId="165" fontId="59" fillId="0" borderId="0" xfId="1" applyNumberFormat="1" applyFont="1" applyFill="1" applyBorder="1" applyAlignment="1">
      <alignment horizontal="center" wrapText="1"/>
    </xf>
    <xf numFmtId="165" fontId="10" fillId="0" borderId="0" xfId="1" applyNumberFormat="1" applyFont="1" applyAlignment="1">
      <alignment horizontal="right"/>
    </xf>
    <xf numFmtId="0" fontId="13" fillId="0" borderId="0" xfId="0" applyFont="1" applyFill="1" applyAlignment="1">
      <alignment horizontal="center"/>
    </xf>
    <xf numFmtId="165" fontId="95" fillId="0" borderId="108" xfId="1" applyNumberFormat="1" applyFont="1" applyBorder="1"/>
    <xf numFmtId="165" fontId="62" fillId="0" borderId="107" xfId="1" applyNumberFormat="1" applyFont="1" applyBorder="1"/>
    <xf numFmtId="40" fontId="62" fillId="0" borderId="0" xfId="0" applyNumberFormat="1" applyFont="1"/>
    <xf numFmtId="39" fontId="95" fillId="0" borderId="0" xfId="0" applyNumberFormat="1" applyFont="1"/>
    <xf numFmtId="39" fontId="62" fillId="0" borderId="0" xfId="0" applyNumberFormat="1" applyFont="1"/>
    <xf numFmtId="0" fontId="11" fillId="0" borderId="59" xfId="0" applyFont="1" applyFill="1" applyBorder="1" applyAlignment="1">
      <alignment horizontal="center"/>
    </xf>
    <xf numFmtId="0" fontId="11" fillId="7" borderId="107" xfId="0" applyFont="1" applyFill="1" applyBorder="1" applyAlignment="1">
      <alignment horizontal="center"/>
    </xf>
    <xf numFmtId="5" fontId="14" fillId="0" borderId="1" xfId="2" applyNumberFormat="1" applyFont="1" applyFill="1" applyBorder="1" applyAlignment="1" applyProtection="1">
      <protection locked="0"/>
    </xf>
    <xf numFmtId="5" fontId="13" fillId="0" borderId="59" xfId="2" applyNumberFormat="1" applyFont="1" applyFill="1" applyBorder="1"/>
    <xf numFmtId="166" fontId="14" fillId="0" borderId="59" xfId="0" applyNumberFormat="1" applyFont="1" applyFill="1" applyBorder="1"/>
    <xf numFmtId="166" fontId="14" fillId="0" borderId="59" xfId="2" applyNumberFormat="1" applyFont="1" applyFill="1" applyBorder="1"/>
    <xf numFmtId="0" fontId="13" fillId="0" borderId="0" xfId="0" applyFont="1" applyBorder="1"/>
    <xf numFmtId="4" fontId="26" fillId="35" borderId="4" xfId="43" applyNumberFormat="1" applyFont="1" applyFill="1" applyBorder="1"/>
    <xf numFmtId="4" fontId="26" fillId="35" borderId="110" xfId="43" applyNumberFormat="1" applyFont="1" applyFill="1" applyBorder="1"/>
    <xf numFmtId="4" fontId="26" fillId="35" borderId="81" xfId="95" applyNumberFormat="1" applyFont="1" applyFill="1" applyBorder="1"/>
    <xf numFmtId="4" fontId="26" fillId="0" borderId="59" xfId="43" applyNumberFormat="1" applyFont="1" applyFill="1" applyBorder="1"/>
    <xf numFmtId="4" fontId="26" fillId="0" borderId="59" xfId="43" applyNumberFormat="1" applyFont="1" applyBorder="1"/>
    <xf numFmtId="4" fontId="26" fillId="0" borderId="109" xfId="43" applyNumberFormat="1" applyFont="1" applyBorder="1"/>
    <xf numFmtId="4" fontId="26" fillId="35" borderId="59" xfId="43" applyNumberFormat="1" applyFont="1" applyFill="1" applyBorder="1"/>
    <xf numFmtId="4" fontId="26" fillId="35" borderId="109" xfId="43" applyNumberFormat="1" applyFont="1" applyFill="1" applyBorder="1"/>
    <xf numFmtId="4" fontId="26" fillId="0" borderId="109" xfId="43" applyNumberFormat="1" applyFont="1" applyFill="1" applyBorder="1"/>
    <xf numFmtId="4" fontId="26" fillId="0" borderId="49" xfId="43" applyNumberFormat="1" applyFont="1" applyFill="1" applyBorder="1"/>
    <xf numFmtId="4" fontId="26" fillId="0" borderId="111" xfId="43" applyNumberFormat="1" applyFont="1" applyFill="1" applyBorder="1"/>
    <xf numFmtId="4" fontId="68" fillId="0" borderId="75" xfId="43" applyNumberFormat="1" applyFont="1" applyBorder="1"/>
    <xf numFmtId="4" fontId="68" fillId="0" borderId="73" xfId="43" applyNumberFormat="1" applyFont="1" applyBorder="1"/>
    <xf numFmtId="4" fontId="68" fillId="0" borderId="76" xfId="95" applyNumberFormat="1" applyFont="1" applyFill="1" applyBorder="1"/>
    <xf numFmtId="0" fontId="103" fillId="0" borderId="0" xfId="0" applyFont="1" applyAlignment="1">
      <alignment horizontal="center"/>
    </xf>
    <xf numFmtId="0" fontId="27" fillId="0" borderId="71" xfId="95" applyFont="1" applyBorder="1" applyAlignment="1">
      <alignment horizontal="center"/>
    </xf>
    <xf numFmtId="0" fontId="27" fillId="0" borderId="71" xfId="95" applyFont="1" applyBorder="1"/>
    <xf numFmtId="0" fontId="57" fillId="0" borderId="0" xfId="95" applyFont="1" applyBorder="1" applyAlignment="1">
      <alignment horizontal="center" wrapText="1"/>
    </xf>
    <xf numFmtId="4" fontId="104" fillId="0" borderId="107" xfId="95" applyNumberFormat="1" applyFont="1" applyBorder="1"/>
    <xf numFmtId="164" fontId="14" fillId="0" borderId="0" xfId="0" applyNumberFormat="1" applyFont="1" applyFill="1" applyBorder="1" applyAlignment="1">
      <alignment horizontal="center"/>
    </xf>
    <xf numFmtId="0" fontId="93" fillId="0" borderId="107" xfId="0" applyFont="1" applyFill="1" applyBorder="1" applyAlignment="1">
      <alignment horizontal="center" wrapText="1"/>
    </xf>
    <xf numFmtId="0" fontId="95" fillId="0" borderId="23" xfId="0" applyFont="1" applyFill="1" applyBorder="1" applyAlignment="1">
      <alignment horizontal="center" wrapText="1"/>
    </xf>
    <xf numFmtId="0" fontId="95" fillId="40" borderId="23" xfId="0" applyFont="1" applyFill="1" applyBorder="1" applyAlignment="1">
      <alignment horizontal="center" wrapText="1"/>
    </xf>
    <xf numFmtId="0" fontId="93" fillId="36" borderId="23" xfId="0" applyFont="1" applyFill="1" applyBorder="1" applyAlignment="1">
      <alignment horizontal="center" wrapText="1"/>
    </xf>
    <xf numFmtId="0" fontId="62" fillId="0" borderId="0" xfId="0" applyFont="1" applyAlignment="1">
      <alignment horizontal="right"/>
    </xf>
    <xf numFmtId="5" fontId="106" fillId="0" borderId="59" xfId="2" applyNumberFormat="1" applyFont="1" applyFill="1" applyBorder="1" applyProtection="1">
      <protection locked="0"/>
    </xf>
    <xf numFmtId="0" fontId="11" fillId="45" borderId="1" xfId="0" applyFont="1" applyFill="1" applyBorder="1" applyAlignment="1">
      <alignment horizontal="center"/>
    </xf>
    <xf numFmtId="5" fontId="0" fillId="45" borderId="1" xfId="2" applyNumberFormat="1" applyFont="1" applyFill="1" applyBorder="1"/>
    <xf numFmtId="5" fontId="10" fillId="45" borderId="1" xfId="2" applyNumberFormat="1" applyFont="1" applyFill="1" applyBorder="1" applyAlignment="1"/>
    <xf numFmtId="5" fontId="10" fillId="45" borderId="21" xfId="2" applyNumberFormat="1" applyFont="1" applyFill="1" applyBorder="1" applyAlignment="1"/>
    <xf numFmtId="5" fontId="10" fillId="45" borderId="48" xfId="2" applyNumberFormat="1" applyFont="1" applyFill="1" applyBorder="1" applyAlignment="1"/>
    <xf numFmtId="5" fontId="10" fillId="45" borderId="2" xfId="2" applyNumberFormat="1" applyFont="1" applyFill="1" applyBorder="1" applyAlignment="1"/>
    <xf numFmtId="3" fontId="110" fillId="0" borderId="59" xfId="0" applyNumberFormat="1" applyFont="1" applyFill="1" applyBorder="1" applyProtection="1">
      <protection locked="0"/>
    </xf>
    <xf numFmtId="0" fontId="102" fillId="36" borderId="107" xfId="0" applyFont="1" applyFill="1" applyBorder="1" applyAlignment="1">
      <alignment horizontal="center"/>
    </xf>
    <xf numFmtId="0" fontId="102" fillId="36" borderId="109" xfId="0" applyFont="1" applyFill="1" applyBorder="1" applyAlignment="1">
      <alignment horizontal="center"/>
    </xf>
    <xf numFmtId="0" fontId="14" fillId="46" borderId="59" xfId="0" applyFont="1" applyFill="1" applyBorder="1" applyAlignment="1">
      <alignment horizontal="center" vertical="center" wrapText="1"/>
    </xf>
    <xf numFmtId="0" fontId="14" fillId="36" borderId="4" xfId="0" applyFont="1" applyFill="1" applyBorder="1" applyAlignment="1">
      <alignment horizontal="center"/>
    </xf>
    <xf numFmtId="0" fontId="14" fillId="36" borderId="59" xfId="0" applyFont="1" applyFill="1" applyBorder="1" applyAlignment="1">
      <alignment horizontal="center"/>
    </xf>
    <xf numFmtId="165" fontId="13" fillId="0" borderId="0" xfId="1" applyNumberFormat="1" applyFont="1" applyAlignment="1">
      <alignment horizontal="center"/>
    </xf>
    <xf numFmtId="165" fontId="13" fillId="0" borderId="0" xfId="1" applyNumberFormat="1" applyFont="1" applyFill="1" applyBorder="1" applyAlignment="1">
      <alignment horizontal="center"/>
    </xf>
    <xf numFmtId="0" fontId="13" fillId="0" borderId="0" xfId="0" applyFont="1" applyAlignment="1">
      <alignment horizontal="center"/>
    </xf>
    <xf numFmtId="0" fontId="14" fillId="46" borderId="4" xfId="0" applyFont="1" applyFill="1" applyBorder="1" applyAlignment="1">
      <alignment horizontal="center" vertical="center"/>
    </xf>
    <xf numFmtId="0" fontId="95" fillId="0" borderId="113" xfId="0" applyFont="1" applyFill="1" applyBorder="1" applyAlignment="1">
      <alignment horizontal="center" wrapText="1"/>
    </xf>
    <xf numFmtId="0" fontId="95" fillId="47" borderId="112" xfId="0" applyFont="1" applyFill="1" applyBorder="1" applyAlignment="1">
      <alignment horizontal="center" wrapText="1"/>
    </xf>
    <xf numFmtId="0" fontId="95" fillId="47" borderId="23" xfId="0" applyFont="1" applyFill="1" applyBorder="1" applyAlignment="1">
      <alignment horizontal="center" wrapText="1"/>
    </xf>
    <xf numFmtId="0" fontId="105" fillId="47" borderId="23" xfId="0" applyFont="1" applyFill="1" applyBorder="1" applyAlignment="1">
      <alignment horizontal="center" wrapText="1"/>
    </xf>
    <xf numFmtId="0" fontId="105" fillId="47" borderId="23" xfId="0" quotePrefix="1" applyFont="1" applyFill="1" applyBorder="1" applyAlignment="1">
      <alignment horizontal="center" wrapText="1"/>
    </xf>
    <xf numFmtId="0" fontId="93" fillId="47" borderId="23" xfId="0" applyFont="1" applyFill="1" applyBorder="1" applyAlignment="1">
      <alignment horizontal="center" wrapText="1"/>
    </xf>
    <xf numFmtId="0" fontId="93" fillId="47" borderId="4" xfId="0" applyFont="1" applyFill="1" applyBorder="1" applyAlignment="1">
      <alignment horizontal="center" wrapText="1"/>
    </xf>
    <xf numFmtId="0" fontId="95" fillId="47" borderId="4" xfId="0" applyFont="1" applyFill="1" applyBorder="1" applyAlignment="1">
      <alignment horizontal="center" wrapText="1"/>
    </xf>
    <xf numFmtId="0" fontId="93" fillId="47" borderId="107" xfId="0" applyFont="1" applyFill="1" applyBorder="1" applyAlignment="1">
      <alignment horizontal="center" wrapText="1"/>
    </xf>
    <xf numFmtId="6" fontId="14" fillId="0" borderId="4" xfId="1" applyNumberFormat="1" applyFont="1" applyFill="1" applyBorder="1"/>
    <xf numFmtId="6" fontId="14" fillId="40" borderId="4" xfId="1" applyNumberFormat="1" applyFont="1" applyFill="1" applyBorder="1"/>
    <xf numFmtId="9" fontId="14" fillId="0" borderId="4" xfId="1" applyNumberFormat="1" applyFont="1" applyFill="1" applyBorder="1"/>
    <xf numFmtId="9" fontId="89" fillId="0" borderId="4" xfId="1" applyNumberFormat="1" applyFont="1" applyFill="1" applyBorder="1"/>
    <xf numFmtId="6" fontId="14" fillId="36" borderId="4" xfId="1" applyNumberFormat="1" applyFont="1" applyFill="1" applyBorder="1"/>
    <xf numFmtId="42" fontId="14" fillId="0" borderId="4" xfId="1" applyNumberFormat="1" applyFont="1" applyFill="1" applyBorder="1"/>
    <xf numFmtId="38" fontId="14" fillId="0" borderId="4" xfId="1" applyNumberFormat="1" applyFont="1" applyFill="1" applyBorder="1"/>
    <xf numFmtId="165" fontId="14" fillId="0" borderId="4" xfId="0" applyNumberFormat="1" applyFont="1" applyFill="1" applyBorder="1"/>
    <xf numFmtId="9" fontId="14" fillId="0" borderId="4" xfId="0" applyNumberFormat="1" applyFont="1" applyFill="1" applyBorder="1" applyAlignment="1">
      <alignment horizontal="center"/>
    </xf>
    <xf numFmtId="0" fontId="102" fillId="36" borderId="26" xfId="0" applyFont="1" applyFill="1" applyBorder="1" applyAlignment="1">
      <alignment horizontal="center"/>
    </xf>
    <xf numFmtId="0" fontId="14" fillId="36" borderId="26" xfId="0" applyFont="1" applyFill="1" applyBorder="1" applyAlignment="1">
      <alignment horizontal="center"/>
    </xf>
    <xf numFmtId="6" fontId="13" fillId="0" borderId="26" xfId="1" applyNumberFormat="1" applyFont="1" applyFill="1" applyBorder="1"/>
    <xf numFmtId="6" fontId="14" fillId="40" borderId="26" xfId="1" applyNumberFormat="1" applyFont="1" applyFill="1" applyBorder="1"/>
    <xf numFmtId="172" fontId="14" fillId="0" borderId="26" xfId="0" applyNumberFormat="1" applyFont="1" applyFill="1" applyBorder="1" applyAlignment="1">
      <alignment horizontal="center"/>
    </xf>
    <xf numFmtId="0" fontId="11" fillId="31" borderId="0" xfId="0" applyFont="1" applyFill="1"/>
    <xf numFmtId="0" fontId="94" fillId="0" borderId="60" xfId="0" applyFont="1" applyFill="1" applyBorder="1" applyAlignment="1">
      <alignment horizontal="center" wrapText="1"/>
    </xf>
    <xf numFmtId="0" fontId="94" fillId="40" borderId="60" xfId="0" applyFont="1" applyFill="1" applyBorder="1" applyAlignment="1">
      <alignment horizontal="center" wrapText="1"/>
    </xf>
    <xf numFmtId="0" fontId="57" fillId="36" borderId="60" xfId="0" applyFont="1" applyFill="1" applyBorder="1" applyAlignment="1">
      <alignment horizontal="center" wrapText="1"/>
    </xf>
    <xf numFmtId="0" fontId="57" fillId="0" borderId="60" xfId="0" applyFont="1" applyFill="1" applyBorder="1" applyAlignment="1">
      <alignment horizontal="center" wrapText="1"/>
    </xf>
    <xf numFmtId="0" fontId="57" fillId="0" borderId="68" xfId="0" applyFont="1" applyFill="1" applyBorder="1" applyAlignment="1">
      <alignment horizontal="center" wrapText="1"/>
    </xf>
    <xf numFmtId="0" fontId="94" fillId="0" borderId="68" xfId="0" applyFont="1" applyFill="1" applyBorder="1" applyAlignment="1">
      <alignment horizontal="center" wrapText="1"/>
    </xf>
    <xf numFmtId="0" fontId="57" fillId="0" borderId="107" xfId="0" applyFont="1" applyFill="1" applyBorder="1" applyAlignment="1">
      <alignment horizontal="center" wrapText="1"/>
    </xf>
    <xf numFmtId="6" fontId="93" fillId="0" borderId="59" xfId="1" applyNumberFormat="1" applyFont="1" applyFill="1" applyBorder="1"/>
    <xf numFmtId="6" fontId="93" fillId="0" borderId="26" xfId="1" applyNumberFormat="1" applyFont="1" applyFill="1" applyBorder="1"/>
    <xf numFmtId="38" fontId="93" fillId="0" borderId="4" xfId="0" applyNumberFormat="1" applyFont="1" applyFill="1" applyBorder="1"/>
    <xf numFmtId="6" fontId="13" fillId="0" borderId="108" xfId="1" applyNumberFormat="1" applyFont="1" applyFill="1" applyBorder="1"/>
    <xf numFmtId="6" fontId="13" fillId="0" borderId="49" xfId="1" applyNumberFormat="1" applyFont="1" applyFill="1" applyBorder="1"/>
    <xf numFmtId="172" fontId="13" fillId="0" borderId="59" xfId="1" applyNumberFormat="1" applyFont="1" applyFill="1" applyBorder="1"/>
    <xf numFmtId="6" fontId="13" fillId="36" borderId="59" xfId="1" applyNumberFormat="1" applyFont="1" applyFill="1" applyBorder="1"/>
    <xf numFmtId="171" fontId="13" fillId="0" borderId="59" xfId="1" applyNumberFormat="1" applyFont="1" applyFill="1" applyBorder="1"/>
    <xf numFmtId="6" fontId="13" fillId="0" borderId="59" xfId="0" applyNumberFormat="1" applyFont="1" applyFill="1" applyBorder="1"/>
    <xf numFmtId="38" fontId="13" fillId="0" borderId="107" xfId="1" applyNumberFormat="1" applyFont="1" applyFill="1" applyBorder="1"/>
    <xf numFmtId="9" fontId="13" fillId="0" borderId="107" xfId="1" applyNumberFormat="1" applyFont="1" applyFill="1" applyBorder="1"/>
    <xf numFmtId="6" fontId="13" fillId="0" borderId="107" xfId="1" applyNumberFormat="1" applyFont="1" applyFill="1" applyBorder="1"/>
    <xf numFmtId="6" fontId="13" fillId="0" borderId="59" xfId="53" applyNumberFormat="1" applyFont="1" applyFill="1" applyBorder="1" applyAlignment="1">
      <alignment horizontal="right"/>
    </xf>
    <xf numFmtId="6" fontId="13" fillId="0" borderId="59" xfId="1" applyNumberFormat="1" applyFont="1" applyFill="1" applyBorder="1" applyProtection="1">
      <protection locked="0"/>
    </xf>
    <xf numFmtId="6" fontId="13" fillId="0" borderId="59" xfId="53" applyNumberFormat="1" applyFont="1" applyFill="1" applyBorder="1" applyAlignment="1" applyProtection="1">
      <alignment horizontal="right"/>
      <protection locked="0"/>
    </xf>
    <xf numFmtId="172" fontId="13" fillId="0" borderId="26" xfId="1" applyNumberFormat="1" applyFont="1" applyFill="1" applyBorder="1"/>
    <xf numFmtId="6" fontId="13" fillId="36" borderId="26" xfId="1" applyNumberFormat="1" applyFont="1" applyFill="1" applyBorder="1"/>
    <xf numFmtId="171" fontId="13" fillId="0" borderId="26" xfId="1" applyNumberFormat="1" applyFont="1" applyFill="1" applyBorder="1"/>
    <xf numFmtId="6" fontId="13" fillId="0" borderId="26" xfId="0" applyNumberFormat="1" applyFont="1" applyFill="1" applyBorder="1"/>
    <xf numFmtId="38" fontId="13" fillId="0" borderId="26" xfId="1" applyNumberFormat="1" applyFont="1" applyFill="1" applyBorder="1"/>
    <xf numFmtId="9" fontId="13" fillId="0" borderId="26" xfId="1" applyNumberFormat="1" applyFont="1" applyFill="1" applyBorder="1"/>
    <xf numFmtId="6" fontId="13" fillId="0" borderId="26" xfId="53" applyNumberFormat="1" applyFont="1" applyFill="1" applyBorder="1" applyAlignment="1">
      <alignment horizontal="right"/>
    </xf>
    <xf numFmtId="0" fontId="105" fillId="0" borderId="113" xfId="0" quotePrefix="1" applyFont="1" applyFill="1" applyBorder="1" applyAlignment="1">
      <alignment horizontal="center" wrapText="1"/>
    </xf>
    <xf numFmtId="0" fontId="93" fillId="36" borderId="113" xfId="0" applyFont="1" applyFill="1" applyBorder="1" applyAlignment="1">
      <alignment horizontal="center" wrapText="1"/>
    </xf>
    <xf numFmtId="0" fontId="93" fillId="0" borderId="113" xfId="0" applyFont="1" applyFill="1" applyBorder="1" applyAlignment="1">
      <alignment horizontal="center" wrapText="1"/>
    </xf>
    <xf numFmtId="0" fontId="59" fillId="44" borderId="107" xfId="0" applyFont="1" applyFill="1" applyBorder="1" applyAlignment="1">
      <alignment horizontal="center" wrapText="1"/>
    </xf>
    <xf numFmtId="0" fontId="62" fillId="0" borderId="0" xfId="0" applyFont="1" applyAlignment="1">
      <alignment horizontal="right" vertical="center"/>
    </xf>
    <xf numFmtId="165" fontId="62" fillId="0" borderId="0" xfId="1" applyNumberFormat="1" applyFont="1" applyAlignment="1">
      <alignment vertical="center"/>
    </xf>
    <xf numFmtId="9" fontId="62" fillId="0" borderId="0" xfId="3" applyFont="1" applyAlignment="1">
      <alignment vertical="center"/>
    </xf>
    <xf numFmtId="165" fontId="62" fillId="0" borderId="6" xfId="1" applyNumberFormat="1" applyFont="1" applyBorder="1" applyAlignment="1">
      <alignment vertical="center"/>
    </xf>
    <xf numFmtId="10" fontId="62" fillId="0" borderId="0" xfId="3" applyNumberFormat="1" applyFont="1" applyAlignment="1">
      <alignment vertical="center"/>
    </xf>
    <xf numFmtId="0" fontId="111" fillId="0" borderId="0" xfId="0" applyFont="1" applyAlignment="1">
      <alignment horizontal="right" vertical="center"/>
    </xf>
    <xf numFmtId="165" fontId="111" fillId="0" borderId="0" xfId="1" applyNumberFormat="1" applyFont="1" applyAlignment="1">
      <alignment vertical="center"/>
    </xf>
    <xf numFmtId="9" fontId="111" fillId="0" borderId="0" xfId="3" applyFont="1" applyAlignment="1">
      <alignment vertical="center"/>
    </xf>
    <xf numFmtId="0" fontId="51" fillId="0" borderId="0" xfId="0" applyFont="1" applyAlignment="1">
      <alignment vertical="center"/>
    </xf>
    <xf numFmtId="165" fontId="62" fillId="0" borderId="0" xfId="1" applyNumberFormat="1" applyFont="1" applyFill="1" applyBorder="1" applyAlignment="1">
      <alignment vertical="center"/>
    </xf>
    <xf numFmtId="0" fontId="0" fillId="0" borderId="0" xfId="0" applyFont="1" applyAlignment="1">
      <alignment vertical="center"/>
    </xf>
    <xf numFmtId="0" fontId="95" fillId="0" borderId="0" xfId="0" applyFont="1" applyAlignment="1">
      <alignment horizontal="right" vertical="center"/>
    </xf>
    <xf numFmtId="165" fontId="95" fillId="0" borderId="0" xfId="1" applyNumberFormat="1" applyFont="1" applyAlignment="1">
      <alignment vertical="center"/>
    </xf>
    <xf numFmtId="165" fontId="95" fillId="0" borderId="0" xfId="1" applyNumberFormat="1" applyFont="1" applyFill="1" applyBorder="1" applyAlignment="1">
      <alignment vertical="center"/>
    </xf>
    <xf numFmtId="165" fontId="95" fillId="3" borderId="7" xfId="1" applyNumberFormat="1" applyFont="1" applyFill="1" applyBorder="1" applyAlignment="1">
      <alignment vertical="center"/>
    </xf>
    <xf numFmtId="0" fontId="11" fillId="0" borderId="0" xfId="0" applyFont="1" applyAlignment="1">
      <alignment vertical="center"/>
    </xf>
    <xf numFmtId="0" fontId="11" fillId="33" borderId="0" xfId="0" applyFont="1" applyFill="1" applyAlignment="1">
      <alignment vertical="center"/>
    </xf>
    <xf numFmtId="165" fontId="11" fillId="33" borderId="0" xfId="1" applyNumberFormat="1" applyFont="1" applyFill="1" applyAlignment="1">
      <alignment vertical="center"/>
    </xf>
    <xf numFmtId="165" fontId="11" fillId="33" borderId="0" xfId="1" applyNumberFormat="1" applyFont="1" applyFill="1" applyBorder="1" applyAlignment="1">
      <alignment vertical="center"/>
    </xf>
    <xf numFmtId="0" fontId="11" fillId="31" borderId="0" xfId="0" applyFont="1" applyFill="1" applyAlignment="1">
      <alignment vertical="center"/>
    </xf>
    <xf numFmtId="0" fontId="96" fillId="0" borderId="0" xfId="0" applyFont="1" applyAlignment="1">
      <alignment horizontal="right" vertical="center"/>
    </xf>
    <xf numFmtId="0" fontId="100" fillId="0" borderId="0" xfId="0" applyFont="1" applyFill="1" applyAlignment="1">
      <alignment horizontal="right" vertical="center"/>
    </xf>
    <xf numFmtId="0" fontId="62" fillId="0" borderId="0" xfId="0" applyFont="1" applyAlignment="1">
      <alignment vertical="center"/>
    </xf>
    <xf numFmtId="0" fontId="95" fillId="0" borderId="50" xfId="0" applyFont="1" applyBorder="1" applyAlignment="1">
      <alignment horizontal="right" vertical="center"/>
    </xf>
    <xf numFmtId="6" fontId="62" fillId="0" borderId="107" xfId="1" applyNumberFormat="1" applyFont="1" applyBorder="1" applyAlignment="1">
      <alignment vertical="center"/>
    </xf>
    <xf numFmtId="171" fontId="62" fillId="0" borderId="42" xfId="1" applyNumberFormat="1" applyFont="1" applyBorder="1" applyAlignment="1">
      <alignment vertical="center"/>
    </xf>
    <xf numFmtId="6" fontId="95" fillId="0" borderId="42" xfId="1" applyNumberFormat="1" applyFont="1" applyBorder="1" applyAlignment="1">
      <alignment vertical="center"/>
    </xf>
    <xf numFmtId="172" fontId="62" fillId="0" borderId="42" xfId="3" applyNumberFormat="1" applyFont="1" applyBorder="1" applyAlignment="1">
      <alignment vertical="center"/>
    </xf>
    <xf numFmtId="0" fontId="95" fillId="3" borderId="42" xfId="0" applyFont="1" applyFill="1" applyBorder="1" applyAlignment="1">
      <alignment horizontal="right" vertical="center"/>
    </xf>
    <xf numFmtId="171" fontId="95" fillId="3" borderId="42" xfId="1" applyNumberFormat="1" applyFont="1" applyFill="1" applyBorder="1" applyAlignment="1">
      <alignment vertical="center"/>
    </xf>
    <xf numFmtId="6" fontId="95" fillId="3" borderId="42" xfId="1" applyNumberFormat="1" applyFont="1" applyFill="1" applyBorder="1" applyAlignment="1">
      <alignment vertical="center"/>
    </xf>
    <xf numFmtId="9" fontId="95" fillId="3" borderId="42" xfId="0" applyNumberFormat="1" applyFont="1" applyFill="1" applyBorder="1" applyAlignment="1">
      <alignment vertical="center"/>
    </xf>
    <xf numFmtId="0" fontId="95" fillId="0" borderId="0" xfId="0" applyFont="1" applyAlignment="1">
      <alignment vertical="center"/>
    </xf>
    <xf numFmtId="6" fontId="95" fillId="0" borderId="0" xfId="0" applyNumberFormat="1" applyFont="1" applyAlignment="1">
      <alignment vertical="center"/>
    </xf>
    <xf numFmtId="5" fontId="106" fillId="7" borderId="59" xfId="2" applyNumberFormat="1" applyFont="1" applyFill="1" applyBorder="1"/>
    <xf numFmtId="166" fontId="113" fillId="8" borderId="59" xfId="0" applyNumberFormat="1" applyFont="1" applyFill="1" applyBorder="1"/>
    <xf numFmtId="166" fontId="113" fillId="7" borderId="59" xfId="2" applyNumberFormat="1" applyFont="1" applyFill="1" applyBorder="1"/>
    <xf numFmtId="5" fontId="106" fillId="7" borderId="1" xfId="0" applyNumberFormat="1" applyFont="1" applyFill="1" applyBorder="1"/>
    <xf numFmtId="5" fontId="106" fillId="7" borderId="59" xfId="0" applyNumberFormat="1" applyFont="1" applyFill="1" applyBorder="1"/>
    <xf numFmtId="166" fontId="113" fillId="7" borderId="2" xfId="2" applyNumberFormat="1" applyFont="1" applyFill="1" applyBorder="1"/>
    <xf numFmtId="5" fontId="106" fillId="0" borderId="86" xfId="2" applyNumberFormat="1" applyFont="1" applyBorder="1"/>
    <xf numFmtId="5" fontId="106" fillId="2" borderId="86" xfId="2" applyNumberFormat="1" applyFont="1" applyFill="1" applyBorder="1"/>
    <xf numFmtId="5" fontId="106" fillId="0" borderId="87" xfId="2" applyNumberFormat="1" applyFont="1" applyBorder="1"/>
    <xf numFmtId="5" fontId="106" fillId="0" borderId="105" xfId="2" applyNumberFormat="1" applyFont="1" applyBorder="1"/>
    <xf numFmtId="5" fontId="106" fillId="0" borderId="88" xfId="2" applyNumberFormat="1" applyFont="1" applyBorder="1"/>
    <xf numFmtId="0" fontId="112" fillId="0" borderId="60" xfId="0" applyFont="1" applyFill="1" applyBorder="1" applyAlignment="1">
      <alignment horizontal="center" wrapText="1"/>
    </xf>
    <xf numFmtId="0" fontId="114" fillId="0" borderId="113" xfId="0" applyFont="1" applyFill="1" applyBorder="1" applyAlignment="1">
      <alignment horizontal="center" wrapText="1"/>
    </xf>
    <xf numFmtId="6" fontId="106" fillId="0" borderId="59" xfId="1" applyNumberFormat="1" applyFont="1" applyFill="1" applyBorder="1"/>
    <xf numFmtId="6" fontId="106" fillId="0" borderId="26" xfId="1" applyNumberFormat="1" applyFont="1" applyFill="1" applyBorder="1"/>
    <xf numFmtId="6" fontId="113" fillId="0" borderId="4" xfId="1" applyNumberFormat="1" applyFont="1" applyFill="1" applyBorder="1"/>
    <xf numFmtId="0" fontId="112" fillId="0" borderId="60" xfId="0" quotePrefix="1" applyFont="1" applyFill="1" applyBorder="1" applyAlignment="1">
      <alignment horizontal="center" wrapText="1"/>
    </xf>
    <xf numFmtId="0" fontId="59" fillId="2" borderId="4" xfId="0" applyFont="1" applyFill="1" applyBorder="1" applyAlignment="1">
      <alignment horizontal="center" wrapText="1"/>
    </xf>
    <xf numFmtId="0" fontId="59" fillId="2" borderId="116" xfId="0" applyFont="1" applyFill="1" applyBorder="1" applyAlignment="1">
      <alignment horizontal="left"/>
    </xf>
    <xf numFmtId="0" fontId="59" fillId="2" borderId="117" xfId="0" applyFont="1" applyFill="1" applyBorder="1" applyAlignment="1">
      <alignment horizontal="left"/>
    </xf>
    <xf numFmtId="0" fontId="81" fillId="2" borderId="115" xfId="0" applyFont="1" applyFill="1" applyBorder="1" applyAlignment="1">
      <alignment horizontal="left" vertical="center"/>
    </xf>
    <xf numFmtId="0" fontId="62" fillId="0" borderId="118" xfId="0" applyFont="1" applyBorder="1" applyAlignment="1">
      <alignment horizontal="center" vertical="center"/>
    </xf>
    <xf numFmtId="0" fontId="62" fillId="0" borderId="23" xfId="0" applyFont="1" applyBorder="1" applyAlignment="1">
      <alignment horizontal="center" vertical="center"/>
    </xf>
    <xf numFmtId="0" fontId="62" fillId="0" borderId="4" xfId="0" applyFont="1" applyBorder="1" applyAlignment="1">
      <alignment horizontal="center" vertical="center"/>
    </xf>
    <xf numFmtId="9" fontId="62" fillId="0" borderId="0" xfId="3" applyFont="1"/>
    <xf numFmtId="165" fontId="62" fillId="0" borderId="0" xfId="1" applyNumberFormat="1" applyFont="1" applyBorder="1"/>
    <xf numFmtId="165" fontId="62" fillId="0" borderId="119" xfId="1" applyNumberFormat="1" applyFont="1" applyFill="1" applyBorder="1"/>
    <xf numFmtId="0" fontId="82" fillId="0" borderId="0" xfId="0" applyFont="1" applyFill="1"/>
    <xf numFmtId="0" fontId="81" fillId="2" borderId="116" xfId="0" applyFont="1" applyFill="1" applyBorder="1" applyAlignment="1">
      <alignment horizontal="center" wrapText="1"/>
    </xf>
    <xf numFmtId="0" fontId="81" fillId="2" borderId="117" xfId="0" applyFont="1" applyFill="1" applyBorder="1" applyAlignment="1">
      <alignment horizontal="center" wrapText="1"/>
    </xf>
    <xf numFmtId="0" fontId="11" fillId="0" borderId="0" xfId="0" applyFont="1" applyFill="1"/>
    <xf numFmtId="0" fontId="11" fillId="48" borderId="0" xfId="0" applyFont="1" applyFill="1" applyAlignment="1">
      <alignment horizontal="right"/>
    </xf>
    <xf numFmtId="165" fontId="11" fillId="48" borderId="0" xfId="1" applyNumberFormat="1" applyFont="1" applyFill="1"/>
    <xf numFmtId="165" fontId="11" fillId="48" borderId="0" xfId="1" applyNumberFormat="1" applyFont="1" applyFill="1" applyBorder="1"/>
    <xf numFmtId="0" fontId="0" fillId="48" borderId="0" xfId="0" applyFill="1"/>
    <xf numFmtId="165" fontId="10" fillId="48" borderId="0" xfId="1" applyNumberFormat="1" applyFont="1" applyFill="1"/>
    <xf numFmtId="0" fontId="81" fillId="2" borderId="105" xfId="0" applyFont="1" applyFill="1" applyBorder="1" applyAlignment="1">
      <alignment horizontal="left"/>
    </xf>
    <xf numFmtId="0" fontId="11" fillId="48" borderId="0" xfId="0" applyFont="1" applyFill="1"/>
    <xf numFmtId="164" fontId="17" fillId="0" borderId="0" xfId="4" applyFont="1" applyFill="1" applyAlignment="1">
      <alignment horizontal="right"/>
    </xf>
    <xf numFmtId="3" fontId="20" fillId="36" borderId="108" xfId="4" applyNumberFormat="1" applyFont="1" applyFill="1" applyBorder="1"/>
    <xf numFmtId="3" fontId="20" fillId="36" borderId="109" xfId="4" applyNumberFormat="1" applyFont="1" applyFill="1" applyBorder="1" applyAlignment="1"/>
    <xf numFmtId="3" fontId="20" fillId="36" borderId="108" xfId="4" applyNumberFormat="1" applyFont="1" applyFill="1" applyBorder="1" applyAlignment="1"/>
    <xf numFmtId="0" fontId="81" fillId="2" borderId="116" xfId="0" applyFont="1" applyFill="1" applyBorder="1" applyAlignment="1">
      <alignment horizontal="left" wrapText="1"/>
    </xf>
    <xf numFmtId="49" fontId="0" fillId="0" borderId="6" xfId="0" applyNumberFormat="1" applyBorder="1"/>
    <xf numFmtId="0" fontId="0" fillId="0" borderId="0" xfId="0" applyNumberFormat="1"/>
    <xf numFmtId="0" fontId="108" fillId="0" borderId="73" xfId="0" applyFont="1" applyFill="1" applyBorder="1" applyAlignment="1">
      <alignment vertical="center"/>
    </xf>
    <xf numFmtId="0" fontId="108" fillId="0" borderId="74" xfId="0" applyFont="1" applyFill="1" applyBorder="1" applyAlignment="1">
      <alignment vertical="center"/>
    </xf>
    <xf numFmtId="49" fontId="108" fillId="0" borderId="73" xfId="0" applyNumberFormat="1" applyFont="1" applyFill="1" applyBorder="1" applyAlignment="1">
      <alignment vertical="center"/>
    </xf>
    <xf numFmtId="49" fontId="108" fillId="0" borderId="74" xfId="0" applyNumberFormat="1" applyFont="1" applyFill="1" applyBorder="1" applyAlignment="1">
      <alignment vertical="center"/>
    </xf>
    <xf numFmtId="0" fontId="109" fillId="0" borderId="76" xfId="0" applyFont="1" applyFill="1" applyBorder="1" applyAlignment="1">
      <alignment vertical="center"/>
    </xf>
    <xf numFmtId="0" fontId="59" fillId="2" borderId="107" xfId="0" applyFont="1" applyFill="1" applyBorder="1" applyAlignment="1">
      <alignment horizontal="center" wrapText="1"/>
    </xf>
    <xf numFmtId="164" fontId="17" fillId="0" borderId="0" xfId="4" applyFont="1" applyFill="1" applyAlignment="1">
      <alignment horizontal="center" wrapText="1"/>
    </xf>
    <xf numFmtId="3" fontId="20" fillId="0" borderId="59" xfId="0" applyNumberFormat="1" applyFont="1" applyFill="1" applyBorder="1"/>
    <xf numFmtId="0" fontId="115" fillId="36" borderId="119" xfId="0" applyFont="1" applyFill="1" applyBorder="1" applyAlignment="1"/>
    <xf numFmtId="0" fontId="115" fillId="0" borderId="47" xfId="0" applyFont="1" applyBorder="1" applyAlignment="1">
      <alignment horizontal="right"/>
    </xf>
    <xf numFmtId="0" fontId="115" fillId="0" borderId="46" xfId="0" applyFont="1" applyBorder="1" applyAlignment="1">
      <alignment horizontal="right"/>
    </xf>
    <xf numFmtId="3" fontId="20" fillId="0" borderId="49" xfId="0" applyNumberFormat="1" applyFont="1" applyFill="1" applyBorder="1"/>
    <xf numFmtId="3" fontId="20" fillId="0" borderId="49" xfId="0" applyNumberFormat="1" applyFont="1" applyBorder="1"/>
    <xf numFmtId="3" fontId="20" fillId="0" borderId="0" xfId="0" applyNumberFormat="1" applyFont="1" applyFill="1" applyBorder="1"/>
    <xf numFmtId="3" fontId="17" fillId="0" borderId="4" xfId="0" applyNumberFormat="1" applyFont="1" applyBorder="1"/>
    <xf numFmtId="0" fontId="3" fillId="0" borderId="0" xfId="0" applyFont="1"/>
    <xf numFmtId="0" fontId="116" fillId="0" borderId="0" xfId="12" applyFont="1"/>
    <xf numFmtId="0" fontId="15" fillId="0" borderId="0" xfId="0" applyFont="1" applyBorder="1"/>
    <xf numFmtId="0" fontId="116" fillId="0" borderId="0" xfId="12" applyFont="1" applyAlignment="1">
      <alignment horizontal="left" indent="2"/>
    </xf>
    <xf numFmtId="0" fontId="82" fillId="0" borderId="120" xfId="0" applyFont="1" applyBorder="1"/>
    <xf numFmtId="0" fontId="11" fillId="0" borderId="47" xfId="0" applyFont="1" applyBorder="1" applyAlignment="1">
      <alignment horizontal="center"/>
    </xf>
    <xf numFmtId="0" fontId="11" fillId="0" borderId="47" xfId="0" applyFont="1" applyBorder="1" applyAlignment="1"/>
    <xf numFmtId="0" fontId="14" fillId="0" borderId="110" xfId="0" applyFont="1" applyBorder="1" applyAlignment="1">
      <alignment horizontal="right" wrapText="1"/>
    </xf>
    <xf numFmtId="0" fontId="0" fillId="0" borderId="0" xfId="0" applyAlignment="1">
      <alignment horizontal="left" wrapText="1"/>
    </xf>
    <xf numFmtId="164" fontId="17" fillId="0" borderId="0" xfId="4" applyFont="1" applyFill="1" applyAlignment="1">
      <alignment horizontal="right"/>
    </xf>
    <xf numFmtId="0" fontId="115" fillId="0" borderId="0" xfId="0" applyFont="1" applyAlignment="1">
      <alignment horizontal="right"/>
    </xf>
    <xf numFmtId="164" fontId="20" fillId="0" borderId="28" xfId="4" applyFont="1" applyFill="1" applyBorder="1" applyAlignment="1">
      <alignment horizontal="center" wrapText="1"/>
    </xf>
    <xf numFmtId="164" fontId="17" fillId="0" borderId="0" xfId="4" applyFont="1" applyFill="1" applyAlignment="1">
      <alignment wrapText="1"/>
    </xf>
    <xf numFmtId="0" fontId="109" fillId="0" borderId="75" xfId="0" applyFont="1" applyFill="1" applyBorder="1" applyAlignment="1">
      <alignment vertical="center" wrapText="1"/>
    </xf>
    <xf numFmtId="0" fontId="11" fillId="0" borderId="0" xfId="0" applyFont="1" applyBorder="1" applyAlignment="1">
      <alignment horizontal="right"/>
    </xf>
    <xf numFmtId="0" fontId="59" fillId="2" borderId="107" xfId="0" applyFont="1" applyFill="1" applyBorder="1" applyAlignment="1">
      <alignment horizontal="right" wrapText="1"/>
    </xf>
    <xf numFmtId="0" fontId="11" fillId="0" borderId="107" xfId="0" applyFont="1" applyBorder="1" applyAlignment="1">
      <alignment horizontal="right"/>
    </xf>
    <xf numFmtId="3" fontId="20" fillId="5" borderId="0" xfId="4" applyNumberFormat="1" applyFont="1" applyFill="1" applyBorder="1" applyAlignment="1"/>
    <xf numFmtId="164" fontId="20" fillId="36" borderId="107" xfId="4" applyFont="1" applyFill="1" applyBorder="1"/>
    <xf numFmtId="164" fontId="17" fillId="36" borderId="107" xfId="4" applyFont="1" applyFill="1" applyBorder="1"/>
    <xf numFmtId="3" fontId="17" fillId="0" borderId="107" xfId="0" applyNumberFormat="1" applyFont="1" applyFill="1" applyBorder="1"/>
    <xf numFmtId="3" fontId="20" fillId="0" borderId="107" xfId="0" applyNumberFormat="1" applyFont="1" applyFill="1" applyBorder="1"/>
    <xf numFmtId="164" fontId="20" fillId="0" borderId="107" xfId="4" applyFont="1" applyFill="1" applyBorder="1"/>
    <xf numFmtId="164" fontId="20" fillId="0" borderId="107" xfId="4" applyNumberFormat="1" applyFont="1" applyFill="1" applyBorder="1"/>
    <xf numFmtId="3" fontId="20" fillId="36" borderId="107" xfId="4" applyNumberFormat="1" applyFont="1" applyFill="1" applyBorder="1"/>
    <xf numFmtId="3" fontId="20" fillId="36" borderId="107" xfId="0" applyNumberFormat="1" applyFont="1" applyFill="1" applyBorder="1"/>
    <xf numFmtId="3" fontId="20" fillId="0" borderId="107" xfId="4" applyNumberFormat="1" applyFont="1" applyFill="1" applyBorder="1" applyAlignment="1">
      <alignment horizontal="right"/>
    </xf>
    <xf numFmtId="0" fontId="115" fillId="0" borderId="107" xfId="0" applyFont="1" applyFill="1" applyBorder="1" applyAlignment="1">
      <alignment horizontal="right"/>
    </xf>
    <xf numFmtId="3" fontId="20" fillId="0" borderId="107" xfId="4" applyNumberFormat="1" applyFont="1" applyFill="1" applyBorder="1"/>
    <xf numFmtId="164" fontId="17" fillId="0" borderId="107" xfId="4" applyFont="1" applyFill="1" applyBorder="1"/>
    <xf numFmtId="3" fontId="17" fillId="0" borderId="107" xfId="0" applyNumberFormat="1" applyFont="1" applyBorder="1"/>
    <xf numFmtId="3" fontId="20" fillId="0" borderId="107" xfId="0" applyNumberFormat="1" applyFont="1" applyBorder="1"/>
    <xf numFmtId="0" fontId="115" fillId="0" borderId="107" xfId="0" applyFont="1" applyBorder="1" applyAlignment="1">
      <alignment horizontal="right"/>
    </xf>
    <xf numFmtId="3" fontId="20" fillId="5" borderId="109" xfId="4" applyNumberFormat="1" applyFont="1" applyFill="1" applyBorder="1"/>
    <xf numFmtId="3" fontId="20" fillId="36" borderId="109" xfId="4" applyNumberFormat="1" applyFont="1" applyFill="1" applyBorder="1"/>
    <xf numFmtId="0" fontId="115" fillId="36" borderId="119" xfId="0" applyFont="1" applyFill="1" applyBorder="1"/>
    <xf numFmtId="3" fontId="20" fillId="36" borderId="121" xfId="4" applyNumberFormat="1" applyFont="1" applyFill="1" applyBorder="1"/>
    <xf numFmtId="164" fontId="17" fillId="0" borderId="121" xfId="4" applyBorder="1"/>
    <xf numFmtId="3" fontId="20" fillId="5" borderId="122" xfId="4" applyNumberFormat="1" applyFont="1" applyFill="1" applyBorder="1"/>
    <xf numFmtId="164" fontId="20" fillId="36" borderId="121" xfId="4" applyFont="1" applyFill="1" applyBorder="1"/>
    <xf numFmtId="164" fontId="17" fillId="36" borderId="121" xfId="4" applyFill="1" applyBorder="1"/>
    <xf numFmtId="3" fontId="17" fillId="36" borderId="121" xfId="0" applyNumberFormat="1" applyFont="1" applyFill="1" applyBorder="1"/>
    <xf numFmtId="3" fontId="20" fillId="36" borderId="121" xfId="0" applyNumberFormat="1" applyFont="1" applyFill="1" applyBorder="1"/>
    <xf numFmtId="3" fontId="17" fillId="36" borderId="107" xfId="0" applyNumberFormat="1" applyFont="1" applyFill="1" applyBorder="1"/>
    <xf numFmtId="164" fontId="20" fillId="36" borderId="107" xfId="4" applyNumberFormat="1" applyFont="1" applyFill="1" applyBorder="1"/>
    <xf numFmtId="3" fontId="20" fillId="36" borderId="122" xfId="4" applyNumberFormat="1" applyFont="1" applyFill="1" applyBorder="1"/>
    <xf numFmtId="0" fontId="115" fillId="36" borderId="123" xfId="0" applyFont="1" applyFill="1" applyBorder="1"/>
    <xf numFmtId="3" fontId="20" fillId="36" borderId="124" xfId="4" applyNumberFormat="1" applyFont="1" applyFill="1" applyBorder="1"/>
    <xf numFmtId="3" fontId="20" fillId="31" borderId="0" xfId="4" applyNumberFormat="1" applyFont="1" applyFill="1" applyBorder="1" applyAlignment="1"/>
    <xf numFmtId="3" fontId="20" fillId="31" borderId="107" xfId="4" applyNumberFormat="1" applyFont="1" applyFill="1" applyBorder="1"/>
    <xf numFmtId="164" fontId="17" fillId="31" borderId="0" xfId="4" applyFont="1" applyFill="1" applyBorder="1"/>
    <xf numFmtId="3" fontId="20" fillId="31" borderId="0" xfId="4" applyNumberFormat="1" applyFont="1" applyFill="1" applyAlignment="1"/>
    <xf numFmtId="3" fontId="20" fillId="31" borderId="28" xfId="4" applyNumberFormat="1" applyFont="1" applyFill="1" applyBorder="1"/>
    <xf numFmtId="3" fontId="20" fillId="31" borderId="48" xfId="4" applyNumberFormat="1" applyFont="1" applyFill="1" applyBorder="1"/>
    <xf numFmtId="164" fontId="17" fillId="31" borderId="0" xfId="4" applyFont="1" applyFill="1"/>
    <xf numFmtId="3" fontId="20" fillId="0" borderId="122" xfId="4" applyNumberFormat="1" applyFont="1" applyBorder="1"/>
    <xf numFmtId="0" fontId="115" fillId="0" borderId="123" xfId="0" applyFont="1" applyBorder="1"/>
    <xf numFmtId="3" fontId="20" fillId="0" borderId="124" xfId="4" applyNumberFormat="1" applyFont="1" applyBorder="1"/>
    <xf numFmtId="3" fontId="20" fillId="37" borderId="0" xfId="4" applyNumberFormat="1" applyFont="1" applyFill="1" applyBorder="1" applyAlignment="1"/>
    <xf numFmtId="164" fontId="17" fillId="37" borderId="0" xfId="4" applyFont="1" applyFill="1" applyBorder="1"/>
    <xf numFmtId="164" fontId="20" fillId="0" borderId="125" xfId="4" applyFont="1" applyFill="1" applyBorder="1"/>
    <xf numFmtId="164" fontId="17" fillId="0" borderId="125" xfId="4" applyFont="1" applyFill="1" applyBorder="1"/>
    <xf numFmtId="3" fontId="20" fillId="0" borderId="125" xfId="4" applyNumberFormat="1" applyFont="1" applyFill="1" applyBorder="1"/>
    <xf numFmtId="3" fontId="20" fillId="0" borderId="110" xfId="4" applyNumberFormat="1" applyFont="1" applyFill="1" applyBorder="1" applyAlignment="1">
      <alignment horizontal="right"/>
    </xf>
    <xf numFmtId="0" fontId="115" fillId="0" borderId="6" xfId="0" applyFont="1" applyFill="1" applyBorder="1" applyAlignment="1">
      <alignment horizontal="right"/>
    </xf>
    <xf numFmtId="0" fontId="115" fillId="0" borderId="114" xfId="0" applyFont="1" applyFill="1" applyBorder="1" applyAlignment="1">
      <alignment horizontal="right"/>
    </xf>
    <xf numFmtId="3" fontId="20" fillId="0" borderId="122" xfId="4" applyNumberFormat="1" applyFont="1" applyFill="1" applyBorder="1" applyAlignment="1"/>
    <xf numFmtId="0" fontId="115" fillId="0" borderId="123" xfId="0" applyFont="1" applyFill="1" applyBorder="1" applyAlignment="1"/>
    <xf numFmtId="3" fontId="20" fillId="0" borderId="124" xfId="4" applyNumberFormat="1" applyFont="1" applyFill="1" applyBorder="1" applyAlignment="1"/>
    <xf numFmtId="3" fontId="20" fillId="0" borderId="124" xfId="4" applyNumberFormat="1" applyFont="1" applyFill="1" applyBorder="1"/>
    <xf numFmtId="3" fontId="17" fillId="36" borderId="59" xfId="0" applyNumberFormat="1" applyFont="1" applyFill="1" applyBorder="1"/>
    <xf numFmtId="3" fontId="20" fillId="36" borderId="49" xfId="0" applyNumberFormat="1" applyFont="1" applyFill="1" applyBorder="1"/>
    <xf numFmtId="164" fontId="20" fillId="36" borderId="28" xfId="4" applyNumberFormat="1" applyFont="1" applyFill="1" applyBorder="1"/>
    <xf numFmtId="164" fontId="20" fillId="36" borderId="45" xfId="4" applyFont="1" applyFill="1" applyBorder="1"/>
    <xf numFmtId="3" fontId="117" fillId="0" borderId="0" xfId="4" applyNumberFormat="1" applyFont="1"/>
    <xf numFmtId="164" fontId="118" fillId="0" borderId="0" xfId="4" applyFont="1" applyAlignment="1">
      <alignment wrapText="1"/>
    </xf>
    <xf numFmtId="164" fontId="118" fillId="0" borderId="0" xfId="4" applyFont="1"/>
    <xf numFmtId="3" fontId="117" fillId="0" borderId="0" xfId="4" applyNumberFormat="1" applyFont="1" applyAlignment="1">
      <alignment wrapText="1"/>
    </xf>
    <xf numFmtId="164" fontId="117" fillId="0" borderId="0" xfId="4" applyFont="1"/>
    <xf numFmtId="164" fontId="117" fillId="0" borderId="0" xfId="4" applyFont="1" applyAlignment="1">
      <alignment wrapText="1"/>
    </xf>
    <xf numFmtId="3" fontId="117" fillId="0" borderId="0" xfId="4" applyNumberFormat="1" applyFont="1" applyAlignment="1">
      <alignment horizontal="center"/>
    </xf>
    <xf numFmtId="164" fontId="119" fillId="0" borderId="0" xfId="10" applyNumberFormat="1" applyFont="1"/>
    <xf numFmtId="164" fontId="116" fillId="6" borderId="0" xfId="12" applyNumberFormat="1" applyFont="1" applyFill="1" applyAlignment="1" applyProtection="1">
      <alignment wrapText="1"/>
    </xf>
    <xf numFmtId="164" fontId="118" fillId="6" borderId="0" xfId="4" applyFont="1" applyFill="1" applyAlignment="1">
      <alignment wrapText="1"/>
    </xf>
    <xf numFmtId="0" fontId="2" fillId="0" borderId="0" xfId="0" applyFont="1" applyAlignment="1">
      <alignment horizontal="left" wrapText="1"/>
    </xf>
    <xf numFmtId="164" fontId="116" fillId="0" borderId="0" xfId="12" applyNumberFormat="1" applyFont="1" applyFill="1" applyAlignment="1">
      <alignment wrapText="1"/>
    </xf>
    <xf numFmtId="164" fontId="119" fillId="0" borderId="0" xfId="10" applyNumberFormat="1" applyFont="1" applyAlignment="1">
      <alignment wrapText="1"/>
    </xf>
    <xf numFmtId="0" fontId="2" fillId="0" borderId="0" xfId="0" applyFont="1"/>
    <xf numFmtId="0" fontId="2" fillId="0" borderId="63" xfId="0" applyFont="1" applyFill="1" applyBorder="1" applyAlignment="1">
      <alignment horizontal="center"/>
    </xf>
    <xf numFmtId="165" fontId="90" fillId="0" borderId="94" xfId="1" applyNumberFormat="1" applyFont="1" applyBorder="1" applyAlignment="1"/>
    <xf numFmtId="0" fontId="14" fillId="0" borderId="114" xfId="0" applyFont="1" applyBorder="1" applyAlignment="1">
      <alignment horizontal="right"/>
    </xf>
    <xf numFmtId="164" fontId="20" fillId="0" borderId="121" xfId="4" applyFont="1" applyFill="1" applyBorder="1" applyAlignment="1">
      <alignment horizontal="center"/>
    </xf>
    <xf numFmtId="164" fontId="20" fillId="0" borderId="121" xfId="4" applyFont="1" applyFill="1" applyBorder="1" applyAlignment="1">
      <alignment horizontal="center" wrapText="1"/>
    </xf>
    <xf numFmtId="164" fontId="70" fillId="0" borderId="0" xfId="4" applyFont="1" applyFill="1" applyAlignment="1">
      <alignment wrapText="1"/>
    </xf>
    <xf numFmtId="164" fontId="70" fillId="0" borderId="0" xfId="4" applyFont="1" applyFill="1" applyAlignment="1">
      <alignment horizontal="center"/>
    </xf>
    <xf numFmtId="164" fontId="120" fillId="39" borderId="0" xfId="4" applyFont="1" applyFill="1" applyAlignment="1">
      <alignment horizontal="center" wrapText="1"/>
    </xf>
    <xf numFmtId="164" fontId="70" fillId="0" borderId="0" xfId="4" applyFont="1" applyFill="1" applyAlignment="1">
      <alignment horizontal="center" wrapText="1"/>
    </xf>
    <xf numFmtId="164" fontId="70" fillId="0" borderId="0" xfId="4" applyFont="1" applyFill="1" applyBorder="1" applyAlignment="1">
      <alignment horizontal="center" wrapText="1"/>
    </xf>
    <xf numFmtId="164" fontId="70" fillId="0" borderId="0" xfId="4" applyFont="1" applyFill="1" applyBorder="1" applyAlignment="1">
      <alignment horizontal="center"/>
    </xf>
    <xf numFmtId="164" fontId="70" fillId="0" borderId="35" xfId="4" applyFont="1" applyFill="1" applyBorder="1"/>
    <xf numFmtId="3" fontId="70" fillId="0" borderId="35" xfId="4" applyNumberFormat="1" applyFont="1" applyFill="1" applyBorder="1"/>
    <xf numFmtId="3" fontId="70" fillId="39" borderId="35" xfId="4" applyNumberFormat="1" applyFont="1" applyFill="1" applyBorder="1"/>
    <xf numFmtId="164" fontId="70" fillId="39" borderId="35" xfId="4" applyFont="1" applyFill="1" applyBorder="1"/>
    <xf numFmtId="164" fontId="70" fillId="0" borderId="40" xfId="4" applyFont="1" applyFill="1" applyBorder="1"/>
    <xf numFmtId="164" fontId="70" fillId="0" borderId="39" xfId="4" applyFont="1" applyFill="1" applyBorder="1"/>
    <xf numFmtId="164" fontId="70" fillId="0" borderId="0" xfId="4" applyFont="1" applyFill="1" applyBorder="1"/>
    <xf numFmtId="164" fontId="70" fillId="0" borderId="28" xfId="4" applyFont="1" applyFill="1" applyBorder="1"/>
    <xf numFmtId="3" fontId="70" fillId="0" borderId="28" xfId="4" applyNumberFormat="1" applyFont="1" applyFill="1" applyBorder="1"/>
    <xf numFmtId="164" fontId="70" fillId="39" borderId="28" xfId="4" applyNumberFormat="1" applyFont="1" applyFill="1" applyBorder="1"/>
    <xf numFmtId="164" fontId="70" fillId="39" borderId="28" xfId="4" applyFont="1" applyFill="1" applyBorder="1"/>
    <xf numFmtId="164" fontId="70" fillId="0" borderId="29" xfId="4" applyFont="1" applyFill="1" applyBorder="1"/>
    <xf numFmtId="164" fontId="70" fillId="0" borderId="125" xfId="4" applyFont="1" applyFill="1" applyBorder="1"/>
    <xf numFmtId="3" fontId="70" fillId="0" borderId="125" xfId="4" applyNumberFormat="1" applyFont="1" applyFill="1" applyBorder="1"/>
    <xf numFmtId="164" fontId="70" fillId="36" borderId="122" xfId="4" applyFont="1" applyFill="1" applyBorder="1" applyAlignment="1"/>
    <xf numFmtId="164" fontId="70" fillId="36" borderId="123" xfId="4" applyFont="1" applyFill="1" applyBorder="1" applyAlignment="1"/>
    <xf numFmtId="164" fontId="70" fillId="36" borderId="124" xfId="4" applyFont="1" applyFill="1" applyBorder="1" applyAlignment="1">
      <alignment horizontal="right"/>
    </xf>
    <xf numFmtId="3" fontId="70" fillId="39" borderId="124" xfId="4" applyNumberFormat="1" applyFont="1" applyFill="1" applyBorder="1"/>
    <xf numFmtId="3" fontId="70" fillId="36" borderId="28" xfId="4" applyNumberFormat="1" applyFont="1" applyFill="1" applyBorder="1"/>
    <xf numFmtId="3" fontId="70" fillId="39" borderId="28" xfId="4" applyNumberFormat="1" applyFont="1" applyFill="1" applyBorder="1"/>
    <xf numFmtId="3" fontId="70" fillId="36" borderId="29" xfId="4" applyNumberFormat="1" applyFont="1" applyFill="1" applyBorder="1"/>
    <xf numFmtId="164" fontId="120" fillId="0" borderId="33" xfId="4" applyFont="1" applyFill="1" applyBorder="1" applyAlignment="1">
      <alignment wrapText="1"/>
    </xf>
    <xf numFmtId="164" fontId="70" fillId="0" borderId="6" xfId="4" applyFont="1" applyFill="1" applyBorder="1" applyAlignment="1">
      <alignment horizontal="center"/>
    </xf>
    <xf numFmtId="164" fontId="70" fillId="39" borderId="30" xfId="4" applyFont="1" applyFill="1" applyBorder="1" applyAlignment="1">
      <alignment horizontal="center"/>
    </xf>
    <xf numFmtId="164" fontId="70" fillId="0" borderId="30" xfId="4" applyFont="1" applyFill="1" applyBorder="1" applyAlignment="1">
      <alignment horizontal="center" wrapText="1"/>
    </xf>
    <xf numFmtId="164" fontId="70" fillId="39" borderId="30" xfId="4" applyFont="1" applyFill="1" applyBorder="1" applyAlignment="1">
      <alignment horizontal="center" wrapText="1"/>
    </xf>
    <xf numFmtId="164" fontId="70" fillId="0" borderId="39" xfId="4" applyFont="1" applyFill="1" applyBorder="1" applyAlignment="1">
      <alignment horizontal="center"/>
    </xf>
    <xf numFmtId="164" fontId="70" fillId="0" borderId="30" xfId="4" applyFont="1" applyFill="1" applyBorder="1" applyAlignment="1">
      <alignment horizontal="center"/>
    </xf>
    <xf numFmtId="0" fontId="10" fillId="0" borderId="33" xfId="0" applyFont="1" applyFill="1" applyBorder="1" applyAlignment="1">
      <alignment shrinkToFit="1"/>
    </xf>
    <xf numFmtId="164" fontId="70" fillId="0" borderId="0" xfId="4" applyFont="1" applyFill="1"/>
    <xf numFmtId="164" fontId="70" fillId="39" borderId="0" xfId="4" applyFont="1" applyFill="1"/>
    <xf numFmtId="164" fontId="70" fillId="36" borderId="0" xfId="4" applyFont="1" applyFill="1"/>
    <xf numFmtId="0" fontId="10" fillId="0" borderId="33" xfId="0" applyFont="1" applyFill="1" applyBorder="1" applyAlignment="1">
      <alignment vertical="center" shrinkToFit="1"/>
    </xf>
    <xf numFmtId="0" fontId="10" fillId="0" borderId="5" xfId="0" applyFont="1" applyFill="1" applyBorder="1" applyAlignment="1">
      <alignment horizontal="center" vertical="center" textRotation="45" shrinkToFit="1"/>
    </xf>
    <xf numFmtId="3" fontId="70" fillId="0" borderId="0" xfId="4" applyNumberFormat="1" applyFont="1" applyFill="1" applyBorder="1" applyAlignment="1">
      <alignment horizontal="right"/>
    </xf>
    <xf numFmtId="3" fontId="70" fillId="39" borderId="0" xfId="4" applyNumberFormat="1" applyFont="1" applyFill="1" applyBorder="1"/>
    <xf numFmtId="3" fontId="70" fillId="0" borderId="0" xfId="4" applyNumberFormat="1" applyFont="1" applyFill="1" applyBorder="1"/>
    <xf numFmtId="0" fontId="10" fillId="0" borderId="33" xfId="0" applyFont="1" applyFill="1" applyBorder="1" applyAlignment="1">
      <alignment horizontal="center" vertical="center" textRotation="45" shrinkToFit="1"/>
    </xf>
    <xf numFmtId="164" fontId="70" fillId="0" borderId="30" xfId="4" applyFont="1" applyFill="1" applyBorder="1"/>
    <xf numFmtId="3" fontId="70" fillId="0" borderId="30" xfId="4" applyNumberFormat="1" applyFont="1" applyFill="1" applyBorder="1"/>
    <xf numFmtId="164" fontId="70" fillId="39" borderId="31" xfId="4" applyNumberFormat="1" applyFont="1" applyFill="1" applyBorder="1"/>
    <xf numFmtId="164" fontId="70" fillId="39" borderId="30" xfId="4" applyFont="1" applyFill="1" applyBorder="1"/>
    <xf numFmtId="0" fontId="10" fillId="0" borderId="33" xfId="0" applyFont="1" applyFill="1" applyBorder="1" applyAlignment="1">
      <alignment textRotation="39" shrinkToFit="1"/>
    </xf>
    <xf numFmtId="164" fontId="70" fillId="39" borderId="0" xfId="4" applyFont="1" applyFill="1" applyBorder="1"/>
    <xf numFmtId="164" fontId="70" fillId="36" borderId="0" xfId="4" applyFont="1" applyFill="1" applyBorder="1"/>
    <xf numFmtId="0" fontId="10" fillId="0" borderId="33" xfId="0" applyFont="1" applyFill="1" applyBorder="1" applyAlignment="1">
      <alignment textRotation="45" shrinkToFit="1"/>
    </xf>
    <xf numFmtId="164" fontId="70" fillId="39" borderId="38" xfId="4" applyFont="1" applyFill="1" applyBorder="1"/>
    <xf numFmtId="164" fontId="70" fillId="36" borderId="38" xfId="4" applyFont="1" applyFill="1" applyBorder="1"/>
    <xf numFmtId="164" fontId="70" fillId="36" borderId="37" xfId="4" applyFont="1" applyFill="1" applyBorder="1"/>
    <xf numFmtId="164" fontId="70" fillId="0" borderId="38" xfId="4" applyFont="1" applyFill="1" applyBorder="1"/>
    <xf numFmtId="164" fontId="120" fillId="0" borderId="0" xfId="4" applyFont="1" applyFill="1"/>
    <xf numFmtId="164" fontId="70" fillId="0" borderId="41" xfId="4" applyFont="1" applyFill="1" applyBorder="1"/>
    <xf numFmtId="0" fontId="120" fillId="0" borderId="0" xfId="0" applyFont="1" applyFill="1" applyAlignment="1"/>
    <xf numFmtId="164" fontId="70" fillId="36" borderId="38" xfId="4" applyFont="1" applyFill="1" applyBorder="1" applyAlignment="1">
      <alignment horizontal="right"/>
    </xf>
    <xf numFmtId="164" fontId="70" fillId="36" borderId="121" xfId="4" applyFont="1" applyFill="1" applyBorder="1" applyAlignment="1">
      <alignment horizontal="right"/>
    </xf>
    <xf numFmtId="165" fontId="106" fillId="0" borderId="0" xfId="1" applyNumberFormat="1" applyFont="1"/>
    <xf numFmtId="0" fontId="4" fillId="0" borderId="69"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69" xfId="0" applyFont="1" applyFill="1" applyBorder="1" applyAlignment="1">
      <alignment horizontal="left" vertical="center" wrapText="1"/>
    </xf>
    <xf numFmtId="0" fontId="15" fillId="0" borderId="61" xfId="0" applyFont="1" applyFill="1" applyBorder="1" applyAlignment="1">
      <alignment horizontal="center"/>
    </xf>
    <xf numFmtId="0" fontId="15" fillId="0" borderId="44" xfId="0" applyFont="1" applyFill="1" applyBorder="1" applyAlignment="1"/>
    <xf numFmtId="0" fontId="15" fillId="0" borderId="62" xfId="0" applyFont="1" applyFill="1" applyBorder="1" applyAlignment="1"/>
    <xf numFmtId="0" fontId="92" fillId="0" borderId="0" xfId="0" applyFont="1" applyBorder="1" applyAlignment="1">
      <alignment horizontal="right"/>
    </xf>
    <xf numFmtId="0" fontId="86" fillId="8" borderId="95" xfId="0" applyFont="1" applyFill="1" applyBorder="1" applyAlignment="1">
      <alignment vertical="center" wrapText="1"/>
    </xf>
    <xf numFmtId="0" fontId="86" fillId="8" borderId="101" xfId="0" applyFont="1" applyFill="1" applyBorder="1" applyAlignment="1">
      <alignment vertical="center" wrapText="1"/>
    </xf>
    <xf numFmtId="0" fontId="15" fillId="0" borderId="8" xfId="0" applyFont="1" applyBorder="1" applyAlignment="1">
      <alignment horizontal="center" wrapText="1"/>
    </xf>
    <xf numFmtId="0" fontId="15" fillId="0" borderId="27" xfId="0" applyFont="1" applyBorder="1" applyAlignment="1">
      <alignment horizontal="center" wrapText="1"/>
    </xf>
    <xf numFmtId="0" fontId="15" fillId="8" borderId="49" xfId="0" applyFont="1" applyFill="1" applyBorder="1" applyAlignment="1">
      <alignment wrapText="1"/>
    </xf>
    <xf numFmtId="0" fontId="5" fillId="0" borderId="4" xfId="0" applyFont="1" applyBorder="1" applyAlignment="1">
      <alignment wrapText="1"/>
    </xf>
    <xf numFmtId="0" fontId="15" fillId="8" borderId="22" xfId="0" applyFont="1" applyFill="1" applyBorder="1" applyAlignment="1">
      <alignment wrapText="1"/>
    </xf>
    <xf numFmtId="0" fontId="7" fillId="0" borderId="4" xfId="0" applyFont="1" applyBorder="1" applyAlignment="1">
      <alignment wrapText="1"/>
    </xf>
    <xf numFmtId="0" fontId="86" fillId="41" borderId="95" xfId="0" applyFont="1" applyFill="1" applyBorder="1" applyAlignment="1">
      <alignment horizontal="center" vertical="center" wrapText="1"/>
    </xf>
    <xf numFmtId="0" fontId="86" fillId="41" borderId="96" xfId="0" applyFont="1" applyFill="1" applyBorder="1" applyAlignment="1">
      <alignment horizontal="center" vertical="center" wrapText="1"/>
    </xf>
    <xf numFmtId="0" fontId="87" fillId="41" borderId="95" xfId="0" applyFont="1" applyFill="1" applyBorder="1" applyAlignment="1">
      <alignment horizontal="center" vertical="center" wrapText="1"/>
    </xf>
    <xf numFmtId="0" fontId="87" fillId="41" borderId="96" xfId="0" applyFont="1" applyFill="1" applyBorder="1" applyAlignment="1">
      <alignment horizontal="center" vertical="center" wrapText="1"/>
    </xf>
    <xf numFmtId="0" fontId="95" fillId="0" borderId="8" xfId="0" applyFont="1" applyBorder="1" applyAlignment="1">
      <alignment horizontal="center" wrapText="1"/>
    </xf>
    <xf numFmtId="0" fontId="95" fillId="0" borderId="27" xfId="0" applyFont="1" applyBorder="1" applyAlignment="1">
      <alignment horizontal="center" wrapText="1"/>
    </xf>
    <xf numFmtId="0" fontId="95" fillId="8" borderId="22" xfId="0" applyFont="1" applyFill="1" applyBorder="1" applyAlignment="1">
      <alignment wrapText="1"/>
    </xf>
    <xf numFmtId="0" fontId="62" fillId="0" borderId="4" xfId="0" applyFont="1" applyBorder="1" applyAlignment="1">
      <alignment wrapText="1"/>
    </xf>
    <xf numFmtId="0" fontId="0" fillId="0" borderId="0" xfId="0" applyAlignment="1"/>
    <xf numFmtId="3" fontId="120" fillId="0" borderId="32" xfId="4" applyNumberFormat="1" applyFont="1" applyFill="1" applyBorder="1" applyAlignment="1">
      <alignment horizontal="center" vertical="center" textRotation="51"/>
    </xf>
    <xf numFmtId="0" fontId="10" fillId="0" borderId="9" xfId="0" applyFont="1" applyBorder="1" applyAlignment="1">
      <alignment horizontal="center" vertical="center" textRotation="51"/>
    </xf>
    <xf numFmtId="0" fontId="10" fillId="0" borderId="36" xfId="0" applyFont="1" applyBorder="1" applyAlignment="1">
      <alignment horizontal="center" vertical="center" textRotation="51"/>
    </xf>
    <xf numFmtId="3" fontId="120" fillId="0" borderId="32" xfId="4" applyNumberFormat="1" applyFont="1" applyFill="1" applyBorder="1" applyAlignment="1">
      <alignment horizontal="center" vertical="center" textRotation="45" shrinkToFit="1"/>
    </xf>
    <xf numFmtId="0" fontId="10" fillId="0" borderId="9" xfId="0" applyFont="1" applyBorder="1" applyAlignment="1">
      <alignment horizontal="center" vertical="center" textRotation="45" shrinkToFit="1"/>
    </xf>
    <xf numFmtId="3" fontId="120" fillId="0" borderId="32" xfId="4" applyNumberFormat="1" applyFont="1" applyFill="1" applyBorder="1" applyAlignment="1">
      <alignment textRotation="39" shrinkToFit="1"/>
    </xf>
    <xf numFmtId="0" fontId="10" fillId="0" borderId="9" xfId="0" applyFont="1" applyBorder="1" applyAlignment="1">
      <alignment textRotation="39" shrinkToFit="1"/>
    </xf>
    <xf numFmtId="3" fontId="120" fillId="0" borderId="32" xfId="4" applyNumberFormat="1" applyFont="1" applyFill="1" applyBorder="1" applyAlignment="1">
      <alignment textRotation="45"/>
    </xf>
    <xf numFmtId="0" fontId="10" fillId="0" borderId="9" xfId="0" applyFont="1" applyBorder="1" applyAlignment="1">
      <alignment textRotation="45"/>
    </xf>
    <xf numFmtId="3" fontId="120" fillId="0" borderId="34" xfId="4" applyNumberFormat="1" applyFont="1" applyFill="1" applyBorder="1" applyAlignment="1">
      <alignment vertical="center" textRotation="45"/>
    </xf>
    <xf numFmtId="0" fontId="58" fillId="0" borderId="9" xfId="0" applyFont="1" applyFill="1" applyBorder="1" applyAlignment="1">
      <alignment vertical="center" textRotation="45"/>
    </xf>
    <xf numFmtId="0" fontId="58" fillId="0" borderId="5" xfId="0" applyFont="1" applyBorder="1" applyAlignment="1">
      <alignment vertical="center" textRotation="45"/>
    </xf>
    <xf numFmtId="3" fontId="120" fillId="0" borderId="32" xfId="4" applyNumberFormat="1" applyFont="1" applyFill="1" applyBorder="1" applyAlignment="1">
      <alignment horizontal="center" vertical="center" textRotation="45"/>
    </xf>
    <xf numFmtId="0" fontId="10" fillId="0" borderId="9" xfId="0" applyFont="1" applyBorder="1" applyAlignment="1">
      <alignment horizontal="center" vertical="center" textRotation="45"/>
    </xf>
    <xf numFmtId="3" fontId="120" fillId="0" borderId="32" xfId="4" applyNumberFormat="1" applyFont="1" applyFill="1" applyBorder="1" applyAlignment="1">
      <alignment vertical="center" textRotation="45"/>
    </xf>
    <xf numFmtId="0" fontId="10" fillId="0" borderId="9" xfId="0" applyFont="1" applyBorder="1" applyAlignment="1">
      <alignment vertical="center" textRotation="45"/>
    </xf>
    <xf numFmtId="0" fontId="78" fillId="0" borderId="93" xfId="0" applyFont="1" applyBorder="1" applyAlignment="1">
      <alignment horizontal="center" vertical="center"/>
    </xf>
    <xf numFmtId="0" fontId="0" fillId="0" borderId="93" xfId="0" applyBorder="1"/>
  </cellXfs>
  <cellStyles count="137">
    <cellStyle name="20% - Accent1 2" xfId="16" xr:uid="{00000000-0005-0000-0000-000000000000}"/>
    <cellStyle name="20% - Accent2 2" xfId="17" xr:uid="{00000000-0005-0000-0000-000001000000}"/>
    <cellStyle name="20% - Accent3 2" xfId="18" xr:uid="{00000000-0005-0000-0000-000002000000}"/>
    <cellStyle name="20% - Accent4 2" xfId="19" xr:uid="{00000000-0005-0000-0000-000003000000}"/>
    <cellStyle name="20% - Accent5 2" xfId="20" xr:uid="{00000000-0005-0000-0000-000004000000}"/>
    <cellStyle name="20% - Accent6 2" xfId="21" xr:uid="{00000000-0005-0000-0000-000005000000}"/>
    <cellStyle name="40% - Accent1 2" xfId="22" xr:uid="{00000000-0005-0000-0000-000006000000}"/>
    <cellStyle name="40% - Accent2 2" xfId="23" xr:uid="{00000000-0005-0000-0000-000007000000}"/>
    <cellStyle name="40% - Accent3 2" xfId="24" xr:uid="{00000000-0005-0000-0000-000008000000}"/>
    <cellStyle name="40% - Accent4 2" xfId="25" xr:uid="{00000000-0005-0000-0000-000009000000}"/>
    <cellStyle name="40% - Accent5 2" xfId="26" xr:uid="{00000000-0005-0000-0000-00000A000000}"/>
    <cellStyle name="40% - Accent6 2" xfId="27" xr:uid="{00000000-0005-0000-0000-00000B000000}"/>
    <cellStyle name="60% - Accent1 2" xfId="28" xr:uid="{00000000-0005-0000-0000-00000C000000}"/>
    <cellStyle name="60% - Accent2 2" xfId="29" xr:uid="{00000000-0005-0000-0000-00000D000000}"/>
    <cellStyle name="60% - Accent3 2" xfId="30" xr:uid="{00000000-0005-0000-0000-00000E000000}"/>
    <cellStyle name="60% - Accent4 2" xfId="31" xr:uid="{00000000-0005-0000-0000-00000F000000}"/>
    <cellStyle name="60% - Accent5 2" xfId="32" xr:uid="{00000000-0005-0000-0000-000010000000}"/>
    <cellStyle name="60% - Accent6 2" xfId="33" xr:uid="{00000000-0005-0000-0000-000011000000}"/>
    <cellStyle name="Accent1 2" xfId="34" xr:uid="{00000000-0005-0000-0000-000012000000}"/>
    <cellStyle name="Accent2 2" xfId="35" xr:uid="{00000000-0005-0000-0000-000013000000}"/>
    <cellStyle name="Accent3 2" xfId="36" xr:uid="{00000000-0005-0000-0000-000014000000}"/>
    <cellStyle name="Accent4 2" xfId="37" xr:uid="{00000000-0005-0000-0000-000015000000}"/>
    <cellStyle name="Accent5 2" xfId="38" xr:uid="{00000000-0005-0000-0000-000016000000}"/>
    <cellStyle name="Accent6 2" xfId="39" xr:uid="{00000000-0005-0000-0000-000017000000}"/>
    <cellStyle name="Bad 2" xfId="40" xr:uid="{00000000-0005-0000-0000-000018000000}"/>
    <cellStyle name="ç" xfId="83" xr:uid="{00000000-0005-0000-0000-000019000000}"/>
    <cellStyle name="Calculation 2" xfId="41" xr:uid="{00000000-0005-0000-0000-00001A000000}"/>
    <cellStyle name="Calculation 2 2" xfId="108" xr:uid="{00000000-0005-0000-0000-00001B000000}"/>
    <cellStyle name="Calculation 2 2 2" xfId="122" xr:uid="{00000000-0005-0000-0000-00001C000000}"/>
    <cellStyle name="Calculation 2 2 2 2" xfId="133" xr:uid="{00000000-0005-0000-0000-00001D000000}"/>
    <cellStyle name="Calculation 2 2 3" xfId="125" xr:uid="{00000000-0005-0000-0000-00001E000000}"/>
    <cellStyle name="Calculation 2 3" xfId="111" xr:uid="{00000000-0005-0000-0000-00001F000000}"/>
    <cellStyle name="Calculation 2 3 2" xfId="127" xr:uid="{00000000-0005-0000-0000-000020000000}"/>
    <cellStyle name="Calculation 2 4" xfId="119" xr:uid="{00000000-0005-0000-0000-000021000000}"/>
    <cellStyle name="Check Cell 2" xfId="42" xr:uid="{00000000-0005-0000-0000-000022000000}"/>
    <cellStyle name="Comma" xfId="1" builtinId="3"/>
    <cellStyle name="Comma (0)" xfId="5" xr:uid="{00000000-0005-0000-0000-000024000000}"/>
    <cellStyle name="Comma 10" xfId="64" xr:uid="{00000000-0005-0000-0000-000025000000}"/>
    <cellStyle name="Comma 11" xfId="73" xr:uid="{00000000-0005-0000-0000-000026000000}"/>
    <cellStyle name="Comma 12" xfId="63" xr:uid="{00000000-0005-0000-0000-000027000000}"/>
    <cellStyle name="Comma 13" xfId="74" xr:uid="{00000000-0005-0000-0000-000028000000}"/>
    <cellStyle name="Comma 14" xfId="62" xr:uid="{00000000-0005-0000-0000-000029000000}"/>
    <cellStyle name="Comma 15" xfId="68" xr:uid="{00000000-0005-0000-0000-00002A000000}"/>
    <cellStyle name="Comma 16" xfId="61" xr:uid="{00000000-0005-0000-0000-00002B000000}"/>
    <cellStyle name="Comma 17" xfId="75" xr:uid="{00000000-0005-0000-0000-00002C000000}"/>
    <cellStyle name="Comma 18" xfId="60" xr:uid="{00000000-0005-0000-0000-00002D000000}"/>
    <cellStyle name="Comma 19" xfId="76" xr:uid="{00000000-0005-0000-0000-00002E000000}"/>
    <cellStyle name="Comma 2" xfId="43" xr:uid="{00000000-0005-0000-0000-00002F000000}"/>
    <cellStyle name="Comma 2 2" xfId="84" xr:uid="{00000000-0005-0000-0000-000030000000}"/>
    <cellStyle name="Comma 20" xfId="59" xr:uid="{00000000-0005-0000-0000-000031000000}"/>
    <cellStyle name="Comma 21" xfId="103" xr:uid="{00000000-0005-0000-0000-000032000000}"/>
    <cellStyle name="Comma 3" xfId="69" xr:uid="{00000000-0005-0000-0000-000033000000}"/>
    <cellStyle name="Comma 4" xfId="67" xr:uid="{00000000-0005-0000-0000-000034000000}"/>
    <cellStyle name="Comma 5" xfId="70" xr:uid="{00000000-0005-0000-0000-000035000000}"/>
    <cellStyle name="Comma 6" xfId="66" xr:uid="{00000000-0005-0000-0000-000036000000}"/>
    <cellStyle name="Comma 7" xfId="71" xr:uid="{00000000-0005-0000-0000-000037000000}"/>
    <cellStyle name="Comma 8" xfId="65" xr:uid="{00000000-0005-0000-0000-000038000000}"/>
    <cellStyle name="Comma 9" xfId="72" xr:uid="{00000000-0005-0000-0000-000039000000}"/>
    <cellStyle name="Currency" xfId="2" builtinId="4"/>
    <cellStyle name="Currency 2" xfId="77" xr:uid="{00000000-0005-0000-0000-00003B000000}"/>
    <cellStyle name="Currency 3" xfId="85" xr:uid="{00000000-0005-0000-0000-00003C000000}"/>
    <cellStyle name="date" xfId="6" xr:uid="{00000000-0005-0000-0000-00003D000000}"/>
    <cellStyle name="Explanatory Text 2" xfId="44" xr:uid="{00000000-0005-0000-0000-00003E000000}"/>
    <cellStyle name="F2" xfId="86" xr:uid="{00000000-0005-0000-0000-00003F000000}"/>
    <cellStyle name="F3" xfId="87" xr:uid="{00000000-0005-0000-0000-000040000000}"/>
    <cellStyle name="F4" xfId="88" xr:uid="{00000000-0005-0000-0000-000041000000}"/>
    <cellStyle name="F5" xfId="89" xr:uid="{00000000-0005-0000-0000-000042000000}"/>
    <cellStyle name="F6" xfId="90" xr:uid="{00000000-0005-0000-0000-000043000000}"/>
    <cellStyle name="F7" xfId="91" xr:uid="{00000000-0005-0000-0000-000044000000}"/>
    <cellStyle name="F8" xfId="92" xr:uid="{00000000-0005-0000-0000-000045000000}"/>
    <cellStyle name="Good 2" xfId="45" xr:uid="{00000000-0005-0000-0000-000046000000}"/>
    <cellStyle name="Heading 1 2" xfId="46" xr:uid="{00000000-0005-0000-0000-000047000000}"/>
    <cellStyle name="Heading 2 2" xfId="47" xr:uid="{00000000-0005-0000-0000-000048000000}"/>
    <cellStyle name="Heading 3 2" xfId="48" xr:uid="{00000000-0005-0000-0000-000049000000}"/>
    <cellStyle name="Heading 4 2" xfId="49" xr:uid="{00000000-0005-0000-0000-00004A000000}"/>
    <cellStyle name="Hyperlink" xfId="12" builtinId="8"/>
    <cellStyle name="Hyperlink 2" xfId="11" xr:uid="{00000000-0005-0000-0000-00004C000000}"/>
    <cellStyle name="Hyperlink 2 2" xfId="105" xr:uid="{00000000-0005-0000-0000-00004D000000}"/>
    <cellStyle name="Hyperlink 2 3" xfId="93" xr:uid="{00000000-0005-0000-0000-00004E000000}"/>
    <cellStyle name="Hyperlink 3" xfId="94" xr:uid="{00000000-0005-0000-0000-00004F000000}"/>
    <cellStyle name="Hyperlink 4" xfId="106" xr:uid="{00000000-0005-0000-0000-000050000000}"/>
    <cellStyle name="Hyperlink 5" xfId="14" xr:uid="{00000000-0005-0000-0000-000051000000}"/>
    <cellStyle name="Input 2" xfId="50" xr:uid="{00000000-0005-0000-0000-000052000000}"/>
    <cellStyle name="Input 2 2" xfId="107" xr:uid="{00000000-0005-0000-0000-000053000000}"/>
    <cellStyle name="Input 2 2 2" xfId="121" xr:uid="{00000000-0005-0000-0000-000054000000}"/>
    <cellStyle name="Input 2 2 2 2" xfId="132" xr:uid="{00000000-0005-0000-0000-000055000000}"/>
    <cellStyle name="Input 2 2 3" xfId="124" xr:uid="{00000000-0005-0000-0000-000056000000}"/>
    <cellStyle name="Input 2 3" xfId="112" xr:uid="{00000000-0005-0000-0000-000057000000}"/>
    <cellStyle name="Input 2 3 2" xfId="128" xr:uid="{00000000-0005-0000-0000-000058000000}"/>
    <cellStyle name="Input 2 4" xfId="110" xr:uid="{00000000-0005-0000-0000-000059000000}"/>
    <cellStyle name="Linked Cell 2" xfId="51" xr:uid="{00000000-0005-0000-0000-00005A000000}"/>
    <cellStyle name="Mon_Yr" xfId="7" xr:uid="{00000000-0005-0000-0000-00005B000000}"/>
    <cellStyle name="monyr" xfId="8" xr:uid="{00000000-0005-0000-0000-00005C000000}"/>
    <cellStyle name="Neutral 2" xfId="52" xr:uid="{00000000-0005-0000-0000-00005D000000}"/>
    <cellStyle name="Normal" xfId="0" builtinId="0"/>
    <cellStyle name="Normal 10" xfId="13" xr:uid="{00000000-0005-0000-0000-00005F000000}"/>
    <cellStyle name="Normal 2" xfId="4" xr:uid="{00000000-0005-0000-0000-000060000000}"/>
    <cellStyle name="Normal 2 2" xfId="95" xr:uid="{00000000-0005-0000-0000-000061000000}"/>
    <cellStyle name="Normal 2 3" xfId="104" xr:uid="{00000000-0005-0000-0000-000062000000}"/>
    <cellStyle name="Normal 2 4" xfId="15" xr:uid="{00000000-0005-0000-0000-000063000000}"/>
    <cellStyle name="Normal 3" xfId="53" xr:uid="{00000000-0005-0000-0000-000064000000}"/>
    <cellStyle name="Normal 3 2" xfId="78" xr:uid="{00000000-0005-0000-0000-000065000000}"/>
    <cellStyle name="Normal 3 3" xfId="96" xr:uid="{00000000-0005-0000-0000-000066000000}"/>
    <cellStyle name="Normal 4" xfId="79" xr:uid="{00000000-0005-0000-0000-000067000000}"/>
    <cellStyle name="Normal 5" xfId="80" xr:uid="{00000000-0005-0000-0000-000068000000}"/>
    <cellStyle name="Normal 5 2" xfId="97" xr:uid="{00000000-0005-0000-0000-000069000000}"/>
    <cellStyle name="Normal 6" xfId="82" xr:uid="{00000000-0005-0000-0000-00006A000000}"/>
    <cellStyle name="Normal 7" xfId="98" xr:uid="{00000000-0005-0000-0000-00006B000000}"/>
    <cellStyle name="Normal 8" xfId="99" xr:uid="{00000000-0005-0000-0000-00006C000000}"/>
    <cellStyle name="Normal 8 2" xfId="120" xr:uid="{00000000-0005-0000-0000-00006D000000}"/>
    <cellStyle name="Normal 8 2 2" xfId="136" xr:uid="{00000000-0005-0000-0000-00006E000000}"/>
    <cellStyle name="Normal 8 3" xfId="135" xr:uid="{00000000-0005-0000-0000-00006F000000}"/>
    <cellStyle name="Normal 9" xfId="102" xr:uid="{00000000-0005-0000-0000-000070000000}"/>
    <cellStyle name="Normal_Alloc AR FY95.1" xfId="10" xr:uid="{00000000-0005-0000-0000-000071000000}"/>
    <cellStyle name="Note 2" xfId="54" xr:uid="{00000000-0005-0000-0000-000072000000}"/>
    <cellStyle name="Note 2 2" xfId="109" xr:uid="{00000000-0005-0000-0000-000073000000}"/>
    <cellStyle name="Note 2 2 2" xfId="123" xr:uid="{00000000-0005-0000-0000-000074000000}"/>
    <cellStyle name="Note 2 2 2 2" xfId="134" xr:uid="{00000000-0005-0000-0000-000075000000}"/>
    <cellStyle name="Note 2 2 3" xfId="126" xr:uid="{00000000-0005-0000-0000-000076000000}"/>
    <cellStyle name="Note 2 3" xfId="113" xr:uid="{00000000-0005-0000-0000-000077000000}"/>
    <cellStyle name="Note 2 3 2" xfId="129" xr:uid="{00000000-0005-0000-0000-000078000000}"/>
    <cellStyle name="Note 2 4" xfId="116" xr:uid="{00000000-0005-0000-0000-000079000000}"/>
    <cellStyle name="Output 2" xfId="55" xr:uid="{00000000-0005-0000-0000-00007A000000}"/>
    <cellStyle name="Output 2 2" xfId="114" xr:uid="{00000000-0005-0000-0000-00007B000000}"/>
    <cellStyle name="Output 2 2 2" xfId="130" xr:uid="{00000000-0005-0000-0000-00007C000000}"/>
    <cellStyle name="Output 2 3" xfId="118" xr:uid="{00000000-0005-0000-0000-00007D000000}"/>
    <cellStyle name="PCA" xfId="9" xr:uid="{00000000-0005-0000-0000-00007E000000}"/>
    <cellStyle name="Percent" xfId="3" builtinId="5"/>
    <cellStyle name="Percent 2" xfId="81" xr:uid="{00000000-0005-0000-0000-000080000000}"/>
    <cellStyle name="Percent 3" xfId="100" xr:uid="{00000000-0005-0000-0000-000081000000}"/>
    <cellStyle name="Percent 4" xfId="101" xr:uid="{00000000-0005-0000-0000-000082000000}"/>
    <cellStyle name="Title 2" xfId="56" xr:uid="{00000000-0005-0000-0000-000083000000}"/>
    <cellStyle name="Total 2" xfId="57" xr:uid="{00000000-0005-0000-0000-000084000000}"/>
    <cellStyle name="Total 2 2" xfId="115" xr:uid="{00000000-0005-0000-0000-000085000000}"/>
    <cellStyle name="Total 2 2 2" xfId="131" xr:uid="{00000000-0005-0000-0000-000086000000}"/>
    <cellStyle name="Total 2 3" xfId="117" xr:uid="{00000000-0005-0000-0000-000087000000}"/>
    <cellStyle name="Warning Text 2" xfId="58" xr:uid="{00000000-0005-0000-0000-000088000000}"/>
  </cellStyles>
  <dxfs count="0"/>
  <tableStyles count="0" defaultTableStyle="TableStyleMedium2" defaultPivotStyle="PivotStyleLight16"/>
  <colors>
    <mruColors>
      <color rgb="FFFFFFFF"/>
      <color rgb="FFFF99CC"/>
      <color rgb="FFFFFFCC"/>
      <color rgb="FFBCE0EA"/>
      <color rgb="FFFFFF66"/>
      <color rgb="FFFFCCFF"/>
      <color rgb="FFFBD1F8"/>
      <color rgb="FFB0DAE6"/>
      <color rgb="FF93BB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10.xml><?xml version="1.0" encoding="utf-8"?>
<ax:ocx xmlns:ax="http://schemas.microsoft.com/office/2006/activeX" xmlns:r="http://schemas.openxmlformats.org/officeDocument/2006/relationships" ax:classid="{5512D122-5CC6-11CF-8D67-00AA00BDCE1D}" ax:persistence="persistStream" r:id="rId1"/>
</file>

<file path=xl/activeX/activeX1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A-5CC6-11CF-8D67-00AA00BDCE1D}" ax:persistence="persistStream" r:id="rId1"/>
</file>

<file path=xl/activeX/activeX4.xml><?xml version="1.0" encoding="utf-8"?>
<ax:ocx xmlns:ax="http://schemas.microsoft.com/office/2006/activeX" xmlns:r="http://schemas.openxmlformats.org/officeDocument/2006/relationships" ax:classid="{5512D110-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activeX/activeX7.xml><?xml version="1.0" encoding="utf-8"?>
<ax:ocx xmlns:ax="http://schemas.microsoft.com/office/2006/activeX" xmlns:r="http://schemas.openxmlformats.org/officeDocument/2006/relationships" ax:classid="{5512D11C-5CC6-11CF-8D67-00AA00BDCE1D}" ax:persistence="persistStream" r:id="rId1"/>
</file>

<file path=xl/activeX/activeX8.xml><?xml version="1.0" encoding="utf-8"?>
<ax:ocx xmlns:ax="http://schemas.microsoft.com/office/2006/activeX" xmlns:r="http://schemas.openxmlformats.org/officeDocument/2006/relationships" ax:classid="{5512D11A-5CC6-11CF-8D67-00AA00BDCE1D}" ax:persistence="persistStream" r:id="rId1"/>
</file>

<file path=xl/activeX/activeX9.xml><?xml version="1.0" encoding="utf-8"?>
<ax:ocx xmlns:ax="http://schemas.microsoft.com/office/2006/activeX" xmlns:r="http://schemas.openxmlformats.org/officeDocument/2006/relationships" ax:classid="{5512D122-5CC6-11CF-8D67-00AA00BDCE1D}" ax:persistence="persistStream" r:id="rId1"/>
</file>

<file path=xl/drawings/_rels/drawing1.xml.rels><?xml version="1.0" encoding="UTF-8" standalone="yes"?>
<Relationships xmlns="http://schemas.openxmlformats.org/package/2006/relationships"><Relationship Id="rId2" Type="http://schemas.openxmlformats.org/officeDocument/2006/relationships/image" Target="../media/image13.gif"/><Relationship Id="rId1" Type="http://schemas.openxmlformats.org/officeDocument/2006/relationships/hyperlink" Target="http://www.indexmundi.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6.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6.emf"/><Relationship Id="rId7" Type="http://schemas.openxmlformats.org/officeDocument/2006/relationships/image" Target="../media/image9.emf"/><Relationship Id="rId2" Type="http://schemas.openxmlformats.org/officeDocument/2006/relationships/image" Target="../media/image5.emf"/><Relationship Id="rId1" Type="http://schemas.openxmlformats.org/officeDocument/2006/relationships/image" Target="../media/image4.emf"/><Relationship Id="rId6" Type="http://schemas.openxmlformats.org/officeDocument/2006/relationships/image" Target="../media/image14.png"/><Relationship Id="rId5" Type="http://schemas.openxmlformats.org/officeDocument/2006/relationships/image" Target="../media/image8.emf"/><Relationship Id="rId10" Type="http://schemas.openxmlformats.org/officeDocument/2006/relationships/image" Target="../media/image12.emf"/><Relationship Id="rId4" Type="http://schemas.openxmlformats.org/officeDocument/2006/relationships/image" Target="../media/image7.emf"/><Relationship Id="rId9" Type="http://schemas.openxmlformats.org/officeDocument/2006/relationships/image" Target="../media/image1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714375</xdr:colOff>
      <xdr:row>2</xdr:row>
      <xdr:rowOff>0</xdr:rowOff>
    </xdr:to>
    <xdr:pic>
      <xdr:nvPicPr>
        <xdr:cNvPr id="2" name="Picture 1" descr="Home">
          <a:hlinkClick xmlns:r="http://schemas.openxmlformats.org/officeDocument/2006/relationships" r:id="rId1"/>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5144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3</xdr:row>
          <xdr:rowOff>47625</xdr:rowOff>
        </xdr:from>
        <xdr:to>
          <xdr:col>1</xdr:col>
          <xdr:colOff>114300</xdr:colOff>
          <xdr:row>4</xdr:row>
          <xdr:rowOff>85725</xdr:rowOff>
        </xdr:to>
        <xdr:sp macro="" textlink="">
          <xdr:nvSpPr>
            <xdr:cNvPr id="26626" name="Control 2" hidden="1">
              <a:extLst>
                <a:ext uri="{63B3BB69-23CF-44E3-9099-C40C66FF867C}">
                  <a14:compatExt spid="_x0000_s26626"/>
                </a:ext>
                <a:ext uri="{FF2B5EF4-FFF2-40B4-BE49-F238E27FC236}">
                  <a16:creationId xmlns:a16="http://schemas.microsoft.com/office/drawing/2014/main" id="{00000000-0008-0000-1B00-000002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2</xdr:col>
          <xdr:colOff>66675</xdr:colOff>
          <xdr:row>4</xdr:row>
          <xdr:rowOff>85725</xdr:rowOff>
        </xdr:to>
        <xdr:sp macro="" textlink="">
          <xdr:nvSpPr>
            <xdr:cNvPr id="26627" name="Control 3" hidden="1">
              <a:extLst>
                <a:ext uri="{63B3BB69-23CF-44E3-9099-C40C66FF867C}">
                  <a14:compatExt spid="_x0000_s26627"/>
                </a:ext>
                <a:ext uri="{FF2B5EF4-FFF2-40B4-BE49-F238E27FC236}">
                  <a16:creationId xmlns:a16="http://schemas.microsoft.com/office/drawing/2014/main" id="{00000000-0008-0000-1B00-000003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2</xdr:col>
          <xdr:colOff>447675</xdr:colOff>
          <xdr:row>4</xdr:row>
          <xdr:rowOff>85725</xdr:rowOff>
        </xdr:to>
        <xdr:sp macro="" textlink="">
          <xdr:nvSpPr>
            <xdr:cNvPr id="26628" name="Control 4" hidden="1">
              <a:extLst>
                <a:ext uri="{63B3BB69-23CF-44E3-9099-C40C66FF867C}">
                  <a14:compatExt spid="_x0000_s26628"/>
                </a:ext>
                <a:ext uri="{FF2B5EF4-FFF2-40B4-BE49-F238E27FC236}">
                  <a16:creationId xmlns:a16="http://schemas.microsoft.com/office/drawing/2014/main" id="{00000000-0008-0000-1B00-000004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xdr:row>
          <xdr:rowOff>47625</xdr:rowOff>
        </xdr:from>
        <xdr:to>
          <xdr:col>1</xdr:col>
          <xdr:colOff>552450</xdr:colOff>
          <xdr:row>4</xdr:row>
          <xdr:rowOff>180975</xdr:rowOff>
        </xdr:to>
        <xdr:sp macro="" textlink="">
          <xdr:nvSpPr>
            <xdr:cNvPr id="26629" name="Control 5" hidden="1">
              <a:extLst>
                <a:ext uri="{63B3BB69-23CF-44E3-9099-C40C66FF867C}">
                  <a14:compatExt spid="_x0000_s26629"/>
                </a:ext>
                <a:ext uri="{FF2B5EF4-FFF2-40B4-BE49-F238E27FC236}">
                  <a16:creationId xmlns:a16="http://schemas.microsoft.com/office/drawing/2014/main" id="{00000000-0008-0000-1B00-000005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xdr:row>
          <xdr:rowOff>47625</xdr:rowOff>
        </xdr:from>
        <xdr:to>
          <xdr:col>1</xdr:col>
          <xdr:colOff>114300</xdr:colOff>
          <xdr:row>5</xdr:row>
          <xdr:rowOff>85725</xdr:rowOff>
        </xdr:to>
        <xdr:sp macro="" textlink="">
          <xdr:nvSpPr>
            <xdr:cNvPr id="26630" name="Control 6" hidden="1">
              <a:extLst>
                <a:ext uri="{63B3BB69-23CF-44E3-9099-C40C66FF867C}">
                  <a14:compatExt spid="_x0000_s26630"/>
                </a:ext>
                <a:ext uri="{FF2B5EF4-FFF2-40B4-BE49-F238E27FC236}">
                  <a16:creationId xmlns:a16="http://schemas.microsoft.com/office/drawing/2014/main" id="{00000000-0008-0000-1B00-000006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76200</xdr:rowOff>
        </xdr:from>
        <xdr:to>
          <xdr:col>1</xdr:col>
          <xdr:colOff>114300</xdr:colOff>
          <xdr:row>7</xdr:row>
          <xdr:rowOff>114300</xdr:rowOff>
        </xdr:to>
        <xdr:sp macro="" textlink="">
          <xdr:nvSpPr>
            <xdr:cNvPr id="26631" name="Control 7" hidden="1">
              <a:extLst>
                <a:ext uri="{63B3BB69-23CF-44E3-9099-C40C66FF867C}">
                  <a14:compatExt spid="_x0000_s26631"/>
                </a:ext>
                <a:ext uri="{FF2B5EF4-FFF2-40B4-BE49-F238E27FC236}">
                  <a16:creationId xmlns:a16="http://schemas.microsoft.com/office/drawing/2014/main" id="{00000000-0008-0000-1B00-000007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xdr:row>
          <xdr:rowOff>76200</xdr:rowOff>
        </xdr:from>
        <xdr:to>
          <xdr:col>2</xdr:col>
          <xdr:colOff>66675</xdr:colOff>
          <xdr:row>7</xdr:row>
          <xdr:rowOff>114300</xdr:rowOff>
        </xdr:to>
        <xdr:sp macro="" textlink="">
          <xdr:nvSpPr>
            <xdr:cNvPr id="26632" name="Control 8" hidden="1">
              <a:extLst>
                <a:ext uri="{63B3BB69-23CF-44E3-9099-C40C66FF867C}">
                  <a14:compatExt spid="_x0000_s26632"/>
                </a:ext>
                <a:ext uri="{FF2B5EF4-FFF2-40B4-BE49-F238E27FC236}">
                  <a16:creationId xmlns:a16="http://schemas.microsoft.com/office/drawing/2014/main" id="{00000000-0008-0000-1B00-000008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15</xdr:row>
          <xdr:rowOff>180975</xdr:rowOff>
        </xdr:from>
        <xdr:to>
          <xdr:col>1</xdr:col>
          <xdr:colOff>666750</xdr:colOff>
          <xdr:row>17</xdr:row>
          <xdr:rowOff>9525</xdr:rowOff>
        </xdr:to>
        <xdr:sp macro="" textlink="">
          <xdr:nvSpPr>
            <xdr:cNvPr id="26636" name="Control 12" hidden="1">
              <a:extLst>
                <a:ext uri="{63B3BB69-23CF-44E3-9099-C40C66FF867C}">
                  <a14:compatExt spid="_x0000_s26636"/>
                </a:ext>
                <a:ext uri="{FF2B5EF4-FFF2-40B4-BE49-F238E27FC236}">
                  <a16:creationId xmlns:a16="http://schemas.microsoft.com/office/drawing/2014/main" id="{00000000-0008-0000-1B00-00000C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30</xdr:row>
          <xdr:rowOff>66675</xdr:rowOff>
        </xdr:from>
        <xdr:to>
          <xdr:col>7</xdr:col>
          <xdr:colOff>400050</xdr:colOff>
          <xdr:row>31</xdr:row>
          <xdr:rowOff>95250</xdr:rowOff>
        </xdr:to>
        <xdr:sp macro="" textlink="">
          <xdr:nvSpPr>
            <xdr:cNvPr id="26641" name="Control 17" hidden="1">
              <a:extLst>
                <a:ext uri="{63B3BB69-23CF-44E3-9099-C40C66FF867C}">
                  <a14:compatExt spid="_x0000_s26641"/>
                </a:ext>
                <a:ext uri="{FF2B5EF4-FFF2-40B4-BE49-F238E27FC236}">
                  <a16:creationId xmlns:a16="http://schemas.microsoft.com/office/drawing/2014/main" id="{00000000-0008-0000-1B00-000011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66675</xdr:rowOff>
        </xdr:from>
        <xdr:to>
          <xdr:col>2</xdr:col>
          <xdr:colOff>504825</xdr:colOff>
          <xdr:row>33</xdr:row>
          <xdr:rowOff>95250</xdr:rowOff>
        </xdr:to>
        <xdr:sp macro="" textlink="">
          <xdr:nvSpPr>
            <xdr:cNvPr id="26642" name="Control 18" hidden="1">
              <a:extLst>
                <a:ext uri="{63B3BB69-23CF-44E3-9099-C40C66FF867C}">
                  <a14:compatExt spid="_x0000_s26642"/>
                </a:ext>
                <a:ext uri="{FF2B5EF4-FFF2-40B4-BE49-F238E27FC236}">
                  <a16:creationId xmlns:a16="http://schemas.microsoft.com/office/drawing/2014/main" id="{00000000-0008-0000-1B00-000012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106</xdr:row>
          <xdr:rowOff>38100</xdr:rowOff>
        </xdr:from>
        <xdr:to>
          <xdr:col>1</xdr:col>
          <xdr:colOff>114300</xdr:colOff>
          <xdr:row>107</xdr:row>
          <xdr:rowOff>76200</xdr:rowOff>
        </xdr:to>
        <xdr:sp macro="" textlink="">
          <xdr:nvSpPr>
            <xdr:cNvPr id="26649" name="Control 25" hidden="1">
              <a:extLst>
                <a:ext uri="{63B3BB69-23CF-44E3-9099-C40C66FF867C}">
                  <a14:compatExt spid="_x0000_s26649"/>
                </a:ext>
                <a:ext uri="{FF2B5EF4-FFF2-40B4-BE49-F238E27FC236}">
                  <a16:creationId xmlns:a16="http://schemas.microsoft.com/office/drawing/2014/main" id="{00000000-0008-0000-1B00-0000196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or0199524\Local%20Settings\Temporary%20Internet%20Files\Content.Outlook\JIHV76VU\Copy%20of%2013-15%20Revised%20Planning%20Allocation_SOME_updated%20demographics_March2013_lkg_2013-3%20at%2025%25%20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or0199524\Local%20Settings\Temporary%20Internet%20Files\Content.Outlook\JIHV76VU\SPA_Distribu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ffices\Salem%20(500%20Summer%20St)\FPP\SUA\IFF\IFF%20workbook\Copy%20of%2013-15%20Revised%20Planning%20Allocation_SOME_updated%20demographics_March2013_lkg_2013-3%20at%2025%25%20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Popul"/>
      <sheetName val="Past"/>
      <sheetName val="OPI"/>
      <sheetName val="NSIP"/>
      <sheetName val="Assumptions"/>
      <sheetName val="Source Information"/>
      <sheetName val="Chart1"/>
      <sheetName val="OAA Allocations"/>
      <sheetName val="Pop to Funding Percent By Dist "/>
      <sheetName val="PopulationCleaned"/>
      <sheetName val="OAA Allocations reformatted"/>
    </sheetNames>
    <sheetDataSet>
      <sheetData sheetId="0" refreshError="1"/>
      <sheetData sheetId="1" refreshError="1"/>
      <sheetData sheetId="2" refreshError="1"/>
      <sheetData sheetId="3" refreshError="1"/>
      <sheetData sheetId="4" refreshError="1"/>
      <sheetData sheetId="5">
        <row r="3">
          <cell r="E3">
            <v>0.12617159894485797</v>
          </cell>
        </row>
        <row r="4">
          <cell r="E4">
            <v>8.0895631231778967E-2</v>
          </cell>
        </row>
        <row r="5">
          <cell r="E5">
            <v>4.5772459403991488E-2</v>
          </cell>
        </row>
        <row r="209">
          <cell r="C209">
            <v>2</v>
          </cell>
        </row>
        <row r="210">
          <cell r="C210">
            <v>0.22</v>
          </cell>
          <cell r="E210">
            <v>0.78</v>
          </cell>
        </row>
        <row r="218">
          <cell r="C218">
            <v>5345420</v>
          </cell>
        </row>
        <row r="220">
          <cell r="C220">
            <v>3008883</v>
          </cell>
        </row>
        <row r="271">
          <cell r="J271">
            <v>56328</v>
          </cell>
        </row>
      </sheetData>
      <sheetData sheetId="6"/>
      <sheetData sheetId="7" refreshError="1"/>
      <sheetData sheetId="8"/>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SPA Seq. Mitig"/>
      <sheetName val="Popul"/>
      <sheetName val="Past"/>
      <sheetName val="OPI"/>
      <sheetName val="NSIP"/>
      <sheetName val="Assumptions"/>
      <sheetName val="Source Information"/>
      <sheetName val="Chart1"/>
      <sheetName val="OAA Allocations"/>
      <sheetName val="PopulationCleaned"/>
      <sheetName val="Pop to Funding Percent By Dist "/>
      <sheetName val="OAA Allocations reformatted"/>
      <sheetName val="Sheet1"/>
    </sheetNames>
    <sheetDataSet>
      <sheetData sheetId="0" refreshError="1"/>
      <sheetData sheetId="1" refreshError="1"/>
      <sheetData sheetId="2" refreshError="1"/>
      <sheetData sheetId="3" refreshError="1"/>
      <sheetData sheetId="4" refreshError="1"/>
      <sheetData sheetId="5" refreshError="1"/>
      <sheetData sheetId="6">
        <row r="3">
          <cell r="E3">
            <v>0.12617159894485797</v>
          </cell>
        </row>
        <row r="4">
          <cell r="E4">
            <v>8.0895631231778967E-2</v>
          </cell>
        </row>
        <row r="5">
          <cell r="E5">
            <v>4.5772459403991488E-2</v>
          </cell>
        </row>
        <row r="209">
          <cell r="C209">
            <v>2</v>
          </cell>
        </row>
        <row r="210">
          <cell r="C210">
            <v>0.22</v>
          </cell>
          <cell r="E210">
            <v>0.78</v>
          </cell>
        </row>
        <row r="218">
          <cell r="C218">
            <v>5345420</v>
          </cell>
        </row>
        <row r="220">
          <cell r="C220">
            <v>3008883</v>
          </cell>
        </row>
        <row r="271">
          <cell r="J271">
            <v>56328</v>
          </cell>
        </row>
      </sheetData>
      <sheetData sheetId="7" refreshError="1"/>
      <sheetData sheetId="8" refreshError="1"/>
      <sheetData sheetId="9"/>
      <sheetData sheetId="10"/>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oc w Funding Formula"/>
      <sheetName val="Popul"/>
      <sheetName val="Past"/>
      <sheetName val="OPI"/>
      <sheetName val="NSIP"/>
      <sheetName val="Assumptions"/>
      <sheetName val="Source Information"/>
      <sheetName val="Chart1"/>
      <sheetName val="OAA Allocations"/>
      <sheetName val="Pop to Funding Percent By Dist "/>
      <sheetName val="PopulationCleaned"/>
      <sheetName val="OAA Allocations reformatted"/>
    </sheetNames>
    <sheetDataSet>
      <sheetData sheetId="0" refreshError="1"/>
      <sheetData sheetId="1"/>
      <sheetData sheetId="2" refreshError="1"/>
      <sheetData sheetId="3" refreshError="1"/>
      <sheetData sheetId="4" refreshError="1"/>
      <sheetData sheetId="5">
        <row r="209">
          <cell r="C209">
            <v>2</v>
          </cell>
        </row>
        <row r="210">
          <cell r="C210">
            <v>0.22</v>
          </cell>
          <cell r="E210">
            <v>0.78</v>
          </cell>
        </row>
      </sheetData>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hyperlink" Target="https://agid.acl.gov/DataGlance/SPR/Trend.aspx?geoids=39&amp;jvar=1687&amp;mode=Count&amp;agegroup=-1&amp;sex=0&amp;pop=0&amp;service=-1&amp;poverty=-1&amp;adl=-1&amp;iadl=-1" TargetMode="External"/><Relationship Id="rId2" Type="http://schemas.openxmlformats.org/officeDocument/2006/relationships/hyperlink" Target="https://www.pdx.edu/population-research/search/psu?keys=population%20report" TargetMode="External"/><Relationship Id="rId1" Type="http://schemas.openxmlformats.org/officeDocument/2006/relationships/hyperlink" Target="http://factfinder2.census.gov/faces/tableservices/jsf/pages/productview.xhtml?pid=ACS_10_5YR_S1701&amp;prodType=table" TargetMode="External"/><Relationship Id="rId6" Type="http://schemas.openxmlformats.org/officeDocument/2006/relationships/vmlDrawing" Target="../drawings/vmlDrawing25.vml"/><Relationship Id="rId5" Type="http://schemas.openxmlformats.org/officeDocument/2006/relationships/printerSettings" Target="../printerSettings/printerSettings27.bin"/><Relationship Id="rId4" Type="http://schemas.openxmlformats.org/officeDocument/2006/relationships/hyperlink" Target="https://data.census.gov/cedsci/table?q=S1701&amp;g=0400000US41.050000&amp;tid=ACSST5Y2019.S1701&amp;hidePreview=true"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www.indexmundi.com/facts/united-states/quick-facts/oregon/land-area" TargetMode="External"/><Relationship Id="rId13" Type="http://schemas.openxmlformats.org/officeDocument/2006/relationships/vmlDrawing" Target="../drawings/vmlDrawing26.vml"/><Relationship Id="rId18" Type="http://schemas.openxmlformats.org/officeDocument/2006/relationships/control" Target="../activeX/activeX3.xml"/><Relationship Id="rId26" Type="http://schemas.openxmlformats.org/officeDocument/2006/relationships/control" Target="../activeX/activeX8.xml"/><Relationship Id="rId3" Type="http://schemas.openxmlformats.org/officeDocument/2006/relationships/hyperlink" Target="http://www.indexmundi.com/facts/united-states/quick-facts/counties/compare" TargetMode="External"/><Relationship Id="rId21" Type="http://schemas.openxmlformats.org/officeDocument/2006/relationships/image" Target="../media/image7.emf"/><Relationship Id="rId7" Type="http://schemas.openxmlformats.org/officeDocument/2006/relationships/hyperlink" Target="http://www.indexmundi.com/facts/united-states/quick-facts/oregon/land-area" TargetMode="External"/><Relationship Id="rId12" Type="http://schemas.openxmlformats.org/officeDocument/2006/relationships/drawing" Target="../drawings/drawing1.xml"/><Relationship Id="rId17" Type="http://schemas.openxmlformats.org/officeDocument/2006/relationships/image" Target="../media/image5.emf"/><Relationship Id="rId25" Type="http://schemas.openxmlformats.org/officeDocument/2006/relationships/control" Target="../activeX/activeX7.xml"/><Relationship Id="rId33" Type="http://schemas.openxmlformats.org/officeDocument/2006/relationships/image" Target="../media/image12.emf"/><Relationship Id="rId2" Type="http://schemas.openxmlformats.org/officeDocument/2006/relationships/hyperlink" Target="http://www.indexmundi.com/facts/united-states/quick-facts/compare" TargetMode="External"/><Relationship Id="rId16" Type="http://schemas.openxmlformats.org/officeDocument/2006/relationships/control" Target="../activeX/activeX2.xml"/><Relationship Id="rId20" Type="http://schemas.openxmlformats.org/officeDocument/2006/relationships/control" Target="../activeX/activeX4.xml"/><Relationship Id="rId29" Type="http://schemas.openxmlformats.org/officeDocument/2006/relationships/image" Target="../media/image10.emf"/><Relationship Id="rId1" Type="http://schemas.openxmlformats.org/officeDocument/2006/relationships/hyperlink" Target="http://www.indexmundi.com/facts/united-states/quick-facts/all-states/land-area/embed/table" TargetMode="External"/><Relationship Id="rId6" Type="http://schemas.openxmlformats.org/officeDocument/2006/relationships/hyperlink" Target="http://www.indexmundi.com/facts/united-states/quick-facts/oregon/land-area" TargetMode="External"/><Relationship Id="rId11" Type="http://schemas.openxmlformats.org/officeDocument/2006/relationships/printerSettings" Target="../printerSettings/printerSettings28.bin"/><Relationship Id="rId24" Type="http://schemas.openxmlformats.org/officeDocument/2006/relationships/control" Target="../activeX/activeX6.xml"/><Relationship Id="rId32" Type="http://schemas.openxmlformats.org/officeDocument/2006/relationships/control" Target="../activeX/activeX11.xml"/><Relationship Id="rId5" Type="http://schemas.openxmlformats.org/officeDocument/2006/relationships/hyperlink" Target="http://www.indexmundi.com/facts/united-states/quick-facts/cities/rank/land-area" TargetMode="External"/><Relationship Id="rId15" Type="http://schemas.openxmlformats.org/officeDocument/2006/relationships/image" Target="../media/image4.emf"/><Relationship Id="rId23" Type="http://schemas.openxmlformats.org/officeDocument/2006/relationships/image" Target="../media/image8.emf"/><Relationship Id="rId28" Type="http://schemas.openxmlformats.org/officeDocument/2006/relationships/control" Target="../activeX/activeX9.xml"/><Relationship Id="rId10" Type="http://schemas.openxmlformats.org/officeDocument/2006/relationships/hyperlink" Target="http://www.census.gov/geo/www/gazetteer/gazette.html" TargetMode="External"/><Relationship Id="rId19" Type="http://schemas.openxmlformats.org/officeDocument/2006/relationships/image" Target="../media/image6.emf"/><Relationship Id="rId31" Type="http://schemas.openxmlformats.org/officeDocument/2006/relationships/image" Target="../media/image11.emf"/><Relationship Id="rId4" Type="http://schemas.openxmlformats.org/officeDocument/2006/relationships/hyperlink" Target="http://www.indexmundi.com/facts/united-states/quick-facts/cities/compare" TargetMode="External"/><Relationship Id="rId9" Type="http://schemas.openxmlformats.org/officeDocument/2006/relationships/hyperlink" Target="http://www.census.gov/population/www/censusdata/density.html" TargetMode="External"/><Relationship Id="rId14" Type="http://schemas.openxmlformats.org/officeDocument/2006/relationships/control" Target="../activeX/activeX1.xml"/><Relationship Id="rId22" Type="http://schemas.openxmlformats.org/officeDocument/2006/relationships/control" Target="../activeX/activeX5.xml"/><Relationship Id="rId27" Type="http://schemas.openxmlformats.org/officeDocument/2006/relationships/image" Target="../media/image9.emf"/><Relationship Id="rId30" Type="http://schemas.openxmlformats.org/officeDocument/2006/relationships/control" Target="../activeX/activeX10.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A12"/>
  <sheetViews>
    <sheetView zoomScaleNormal="100" workbookViewId="0">
      <selection activeCell="A31" activeCellId="1" sqref="B3:B17 A31"/>
    </sheetView>
  </sheetViews>
  <sheetFormatPr defaultRowHeight="15"/>
  <cols>
    <col min="1" max="1" width="149.7109375" style="45" customWidth="1" collapsed="1"/>
  </cols>
  <sheetData>
    <row r="2" spans="1:1">
      <c r="A2" s="45" t="s">
        <v>266</v>
      </c>
    </row>
    <row r="3" spans="1:1">
      <c r="A3" s="45" t="s">
        <v>179</v>
      </c>
    </row>
    <row r="5" spans="1:1">
      <c r="A5" s="45" t="s">
        <v>167</v>
      </c>
    </row>
    <row r="8" spans="1:1">
      <c r="A8" s="45" t="s">
        <v>176</v>
      </c>
    </row>
    <row r="9" spans="1:1" ht="30">
      <c r="A9" s="45" t="s">
        <v>252</v>
      </c>
    </row>
    <row r="10" spans="1:1">
      <c r="A10" s="45" t="s">
        <v>253</v>
      </c>
    </row>
    <row r="11" spans="1:1" ht="45">
      <c r="A11" s="45" t="s">
        <v>265</v>
      </c>
    </row>
    <row r="12" spans="1:1" ht="30">
      <c r="A12" s="45" t="s">
        <v>254</v>
      </c>
    </row>
  </sheetData>
  <pageMargins left="0.75" right="0.75" top="1.5" bottom="0.5" header="0.25" footer="0.5"/>
  <pageSetup scale="47" orientation="landscape" r:id="rId1"/>
  <headerFooter alignWithMargins="0">
    <oddHeader>&amp;C&amp;"Arial Black,Bold"&amp;14
AAA 2023-2025 PLANNING ALLOCATION
Summary by Funding Source</oddHeader>
    <oddFooter>&amp;L&amp;Z&amp;F&amp;A&amp;R&amp;"Century Gothic,Regular"Page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FFFF66"/>
    <pageSetUpPr fitToPage="1"/>
  </sheetPr>
  <dimension ref="A1:L35"/>
  <sheetViews>
    <sheetView zoomScaleNormal="100" zoomScalePageLayoutView="115" workbookViewId="0">
      <selection activeCell="B23" sqref="B23"/>
    </sheetView>
  </sheetViews>
  <sheetFormatPr defaultRowHeight="23.25"/>
  <cols>
    <col min="1" max="1" width="22.140625" customWidth="1" collapsed="1"/>
    <col min="2" max="2" width="37.5703125" bestFit="1" customWidth="1" collapsed="1"/>
    <col min="3" max="3" width="17" style="9" customWidth="1" collapsed="1"/>
    <col min="4" max="4" width="16.85546875" style="9" bestFit="1" customWidth="1" collapsed="1"/>
    <col min="5" max="5" width="13.28515625" style="9" customWidth="1" collapsed="1"/>
    <col min="6" max="6" width="14.28515625" style="9" customWidth="1" collapsed="1"/>
    <col min="7" max="7" width="14.5703125" style="9" customWidth="1" collapsed="1"/>
    <col min="8" max="8" width="14.42578125" customWidth="1" collapsed="1"/>
    <col min="9" max="9" width="11.5703125" customWidth="1" collapsed="1"/>
    <col min="12" max="12" width="18.28515625" style="306" customWidth="1"/>
  </cols>
  <sheetData>
    <row r="1" spans="1:12" s="305" customFormat="1" ht="24" thickBot="1">
      <c r="A1" s="692" t="s">
        <v>32</v>
      </c>
      <c r="B1" s="684"/>
      <c r="C1" s="684"/>
      <c r="D1" s="684"/>
      <c r="E1" s="684"/>
      <c r="F1" s="684"/>
      <c r="G1" s="684"/>
      <c r="H1" s="685"/>
    </row>
    <row r="2" spans="1:12" s="64" customFormat="1" ht="36">
      <c r="A2" s="673" t="s">
        <v>477</v>
      </c>
      <c r="B2" s="673" t="s">
        <v>478</v>
      </c>
      <c r="C2" s="673" t="s">
        <v>22</v>
      </c>
      <c r="D2" s="673" t="s">
        <v>26</v>
      </c>
      <c r="E2" s="673" t="s">
        <v>390</v>
      </c>
      <c r="F2" s="673" t="s">
        <v>443</v>
      </c>
      <c r="G2" s="673" t="s">
        <v>444</v>
      </c>
      <c r="H2" s="673" t="s">
        <v>445</v>
      </c>
    </row>
    <row r="3" spans="1:12" ht="15" customHeight="1">
      <c r="A3" s="677" t="str" cm="1">
        <f t="array" ref="A3">_xlfn.XLOOKUP($A$1,Titles,_xlfn.XLOOKUP(LEFT(B3,4),GrantYears,FAIN),"x",-1)</f>
        <v>2301OROAHD</v>
      </c>
      <c r="B3" s="48" t="s">
        <v>393</v>
      </c>
      <c r="C3" s="9">
        <f>'4. Award History&amp;Projections '!D16</f>
        <v>4731896</v>
      </c>
      <c r="D3" s="6">
        <v>0.25</v>
      </c>
      <c r="E3" s="9">
        <f>ROUND(C3*D3,0)</f>
        <v>1182974</v>
      </c>
      <c r="H3" s="9">
        <f>SUM(E3:G3)</f>
        <v>1182974</v>
      </c>
    </row>
    <row r="4" spans="1:12" ht="15" customHeight="1">
      <c r="A4" s="678" t="str" cm="1">
        <f t="array" ref="A4">_xlfn.XLOOKUP($A$1,Titles,_xlfn.XLOOKUP(LEFT(B4,4),GrantYears,FAIN),"x",-1)</f>
        <v>2401OROAHD</v>
      </c>
      <c r="B4" s="48" t="s">
        <v>441</v>
      </c>
      <c r="C4" s="18">
        <f>'4. Award History&amp;Projections '!D17</f>
        <v>4731896</v>
      </c>
      <c r="D4" s="6">
        <v>1</v>
      </c>
      <c r="F4" s="9">
        <f>ROUND(C4*D4,0)</f>
        <v>4731896</v>
      </c>
      <c r="H4" s="9">
        <f>SUM(E4:G4)</f>
        <v>4731896</v>
      </c>
    </row>
    <row r="5" spans="1:12" ht="15" customHeight="1">
      <c r="A5" s="679" t="str" cm="1">
        <f t="array" ref="A5">_xlfn.XLOOKUP($A$1,Titles,_xlfn.XLOOKUP(LEFT(B5,4),GrantYears,FAIN),"x",-1)</f>
        <v>2501OROAHD</v>
      </c>
      <c r="B5" s="48" t="s">
        <v>442</v>
      </c>
      <c r="C5" s="18">
        <f>'4. Award History&amp;Projections '!D18</f>
        <v>4731896</v>
      </c>
      <c r="D5" s="6">
        <v>0.75</v>
      </c>
      <c r="E5" s="8"/>
      <c r="F5" s="8"/>
      <c r="G5" s="8">
        <f>ROUND(C5*D5,0)</f>
        <v>3548922</v>
      </c>
      <c r="H5" s="8">
        <f>SUM(E5:G5)</f>
        <v>3548922</v>
      </c>
    </row>
    <row r="6" spans="1:12" ht="15" customHeight="1">
      <c r="A6" s="190"/>
      <c r="B6" s="48" t="s">
        <v>23</v>
      </c>
      <c r="E6" s="9">
        <f>SUM(E3:E5)</f>
        <v>1182974</v>
      </c>
      <c r="F6" s="9">
        <f>SUM(F3:F5)</f>
        <v>4731896</v>
      </c>
      <c r="G6" s="9">
        <f>SUM(G3:G5)</f>
        <v>3548922</v>
      </c>
      <c r="H6" s="9">
        <f>SUM(H3:H5)</f>
        <v>9463792</v>
      </c>
    </row>
    <row r="7" spans="1:12" ht="15" customHeight="1">
      <c r="A7" s="190"/>
      <c r="B7" s="48" t="s">
        <v>24</v>
      </c>
      <c r="D7" s="5">
        <v>0.05</v>
      </c>
      <c r="E7" s="8">
        <f>ROUND($D$7*-E6,0)</f>
        <v>-59149</v>
      </c>
      <c r="F7" s="8">
        <f>ROUND($D$7*-F6,0)</f>
        <v>-236595</v>
      </c>
      <c r="G7" s="8">
        <f>ROUND($D$7*-G6,0)</f>
        <v>-177446</v>
      </c>
      <c r="H7" s="8">
        <f>SUM(E7:G7)</f>
        <v>-473190</v>
      </c>
    </row>
    <row r="8" spans="1:12" ht="15" customHeight="1">
      <c r="A8" s="190"/>
      <c r="B8" s="48" t="s">
        <v>23</v>
      </c>
      <c r="E8" s="9">
        <f>SUM(E6:E7)</f>
        <v>1123825</v>
      </c>
      <c r="F8" s="9">
        <f>SUM(F6:F7)</f>
        <v>4495301</v>
      </c>
      <c r="G8" s="9">
        <f>SUM(G6:G7)</f>
        <v>3371476</v>
      </c>
      <c r="H8" s="9">
        <f>SUM(H6:H7)</f>
        <v>8990602</v>
      </c>
    </row>
    <row r="9" spans="1:12" s="15" customFormat="1" ht="15" customHeight="1">
      <c r="A9" s="53"/>
      <c r="B9" s="53"/>
      <c r="C9" s="9"/>
      <c r="D9" s="9"/>
      <c r="E9" s="17"/>
      <c r="F9" s="17"/>
      <c r="G9" s="17"/>
      <c r="H9" s="17">
        <v>0</v>
      </c>
      <c r="L9" s="306"/>
    </row>
    <row r="10" spans="1:12" s="1" customFormat="1" ht="15" customHeight="1" thickBot="1">
      <c r="A10" s="46"/>
      <c r="B10" s="46" t="s">
        <v>29</v>
      </c>
      <c r="C10" s="10"/>
      <c r="D10" s="10"/>
      <c r="E10" s="14"/>
      <c r="F10" s="14"/>
      <c r="G10" s="14"/>
      <c r="H10" s="11">
        <f>H8</f>
        <v>8990602</v>
      </c>
      <c r="L10" s="306"/>
    </row>
    <row r="11" spans="1:12" s="686" customFormat="1" ht="15" customHeight="1" thickTop="1">
      <c r="A11" s="687"/>
      <c r="B11" s="687"/>
      <c r="C11" s="688"/>
      <c r="D11" s="688"/>
      <c r="E11" s="689"/>
      <c r="F11" s="689"/>
      <c r="G11" s="689"/>
      <c r="H11" s="689"/>
      <c r="L11" s="683"/>
    </row>
    <row r="12" spans="1:12" ht="15" customHeight="1">
      <c r="A12" s="63"/>
      <c r="B12" s="63" t="s">
        <v>144</v>
      </c>
      <c r="H12" s="9"/>
    </row>
    <row r="13" spans="1:12" ht="15" customHeight="1">
      <c r="A13" s="502"/>
      <c r="B13" s="502" t="s">
        <v>36</v>
      </c>
      <c r="C13" s="9">
        <f>'4. Award History&amp;Projections '!D19</f>
        <v>5000</v>
      </c>
      <c r="D13" s="9">
        <v>16</v>
      </c>
      <c r="H13" s="9">
        <f>C13*D13</f>
        <v>80000</v>
      </c>
      <c r="I13" s="12"/>
    </row>
    <row r="14" spans="1:12" ht="15" customHeight="1">
      <c r="A14" s="190"/>
      <c r="B14" s="48" t="s">
        <v>28</v>
      </c>
      <c r="D14" s="5">
        <v>0</v>
      </c>
      <c r="H14" s="9">
        <f>ROUND((H10-H13)*D14,0)</f>
        <v>0</v>
      </c>
    </row>
    <row r="15" spans="1:12" ht="15" customHeight="1">
      <c r="A15" s="190"/>
      <c r="B15" s="48" t="s">
        <v>37</v>
      </c>
      <c r="D15" s="5">
        <v>1</v>
      </c>
      <c r="H15" s="9">
        <f>H10-H13-H14</f>
        <v>8910602</v>
      </c>
    </row>
    <row r="16" spans="1:12" s="1" customFormat="1" ht="15" customHeight="1" thickBot="1">
      <c r="A16" s="46"/>
      <c r="B16" s="46" t="s">
        <v>29</v>
      </c>
      <c r="C16" s="10"/>
      <c r="D16" s="10"/>
      <c r="E16" s="10"/>
      <c r="F16" s="10"/>
      <c r="G16" s="10"/>
      <c r="H16" s="11">
        <f>SUM(H13:H15)</f>
        <v>8990602</v>
      </c>
      <c r="L16" s="306"/>
    </row>
    <row r="17" spans="1:12" s="169" customFormat="1" ht="6.75" customHeight="1" thickTop="1">
      <c r="A17" s="690"/>
      <c r="B17" s="690"/>
      <c r="C17" s="691"/>
      <c r="D17" s="691"/>
      <c r="E17" s="691"/>
      <c r="F17" s="691"/>
      <c r="G17" s="691"/>
      <c r="H17" s="690"/>
      <c r="L17" s="683"/>
    </row>
    <row r="18" spans="1:12" s="64" customFormat="1" ht="73.5">
      <c r="A18"/>
      <c r="B18" s="154" t="s">
        <v>58</v>
      </c>
      <c r="C18" s="505" t="s">
        <v>36</v>
      </c>
      <c r="D18" s="84" t="s">
        <v>203</v>
      </c>
      <c r="E18" s="84" t="s">
        <v>428</v>
      </c>
      <c r="F18" s="506" t="s">
        <v>204</v>
      </c>
      <c r="G18" s="507"/>
      <c r="H18" s="508"/>
      <c r="L18" s="305"/>
    </row>
    <row r="19" spans="1:12" ht="15">
      <c r="B19" s="103" t="s">
        <v>72</v>
      </c>
      <c r="C19" s="504">
        <f>$C$13</f>
        <v>5000</v>
      </c>
      <c r="D19" s="68">
        <f>ROUND(('3. Population-NSIP#'!E3*$H$15),0)</f>
        <v>312089</v>
      </c>
      <c r="E19" s="75">
        <f>ROUND(C19+D19,0)</f>
        <v>317089</v>
      </c>
      <c r="F19" s="93">
        <f>E19/$E$35</f>
        <v>3.526893972172275E-2</v>
      </c>
      <c r="G19" s="18"/>
      <c r="L19"/>
    </row>
    <row r="20" spans="1:12" ht="15">
      <c r="B20" s="103" t="s">
        <v>61</v>
      </c>
      <c r="C20" s="504">
        <f t="shared" ref="C20:C34" si="0">$C$13</f>
        <v>5000</v>
      </c>
      <c r="D20" s="68">
        <f>ROUND(('3. Population-NSIP#'!E4*$H$15),0)</f>
        <v>116755</v>
      </c>
      <c r="E20" s="75">
        <f t="shared" ref="E20:E34" si="1">ROUND(C20+D20,0)</f>
        <v>121755</v>
      </c>
      <c r="F20" s="93">
        <f t="shared" ref="F20:F34" si="2">E20/$E$35</f>
        <v>1.3542474686344697E-2</v>
      </c>
      <c r="G20" s="18"/>
      <c r="L20"/>
    </row>
    <row r="21" spans="1:12" ht="15">
      <c r="B21" s="103" t="s">
        <v>73</v>
      </c>
      <c r="C21" s="504">
        <f t="shared" si="0"/>
        <v>5000</v>
      </c>
      <c r="D21" s="68">
        <f>ROUND(('3. Population-NSIP#'!E5*$H$15),0)</f>
        <v>169034</v>
      </c>
      <c r="E21" s="75">
        <f t="shared" si="1"/>
        <v>174034</v>
      </c>
      <c r="F21" s="93">
        <f t="shared" si="2"/>
        <v>1.9357324459474461E-2</v>
      </c>
      <c r="G21" s="18"/>
      <c r="L21"/>
    </row>
    <row r="22" spans="1:12" ht="15">
      <c r="B22" s="103" t="s">
        <v>60</v>
      </c>
      <c r="C22" s="504">
        <f t="shared" si="0"/>
        <v>5000</v>
      </c>
      <c r="D22" s="68">
        <f>ROUND(('3. Population-NSIP#'!E6*$H$15),0)</f>
        <v>934025</v>
      </c>
      <c r="E22" s="75">
        <f t="shared" si="1"/>
        <v>939025</v>
      </c>
      <c r="F22" s="93">
        <f t="shared" si="2"/>
        <v>0.10444517508393765</v>
      </c>
      <c r="G22" s="18"/>
      <c r="L22"/>
    </row>
    <row r="23" spans="1:12" ht="15">
      <c r="B23" s="103" t="s">
        <v>541</v>
      </c>
      <c r="C23" s="504">
        <f t="shared" si="0"/>
        <v>5000</v>
      </c>
      <c r="D23" s="68">
        <f>ROUND(('3. Population-NSIP#'!E7*$H$15),0)</f>
        <v>543951</v>
      </c>
      <c r="E23" s="75">
        <f t="shared" si="1"/>
        <v>548951</v>
      </c>
      <c r="F23" s="93">
        <f t="shared" si="2"/>
        <v>6.1058314003889842E-2</v>
      </c>
      <c r="G23" s="18"/>
      <c r="L23"/>
    </row>
    <row r="24" spans="1:12" ht="15">
      <c r="B24" s="103" t="s">
        <v>169</v>
      </c>
      <c r="C24" s="504">
        <f t="shared" si="0"/>
        <v>5000</v>
      </c>
      <c r="D24" s="68">
        <f>ROUND(('3. Population-NSIP#'!E8*$H$15),0)</f>
        <v>340864</v>
      </c>
      <c r="E24" s="75">
        <f t="shared" si="1"/>
        <v>345864</v>
      </c>
      <c r="F24" s="93">
        <f t="shared" si="2"/>
        <v>3.8469504044334295E-2</v>
      </c>
      <c r="G24" s="18"/>
      <c r="L24"/>
    </row>
    <row r="25" spans="1:12" ht="15">
      <c r="B25" s="103" t="s">
        <v>74</v>
      </c>
      <c r="C25" s="504">
        <f t="shared" si="0"/>
        <v>5000</v>
      </c>
      <c r="D25" s="68">
        <f>ROUND(('3. Population-NSIP#'!E9*$H$15),0)</f>
        <v>20933</v>
      </c>
      <c r="E25" s="75">
        <f t="shared" si="1"/>
        <v>25933</v>
      </c>
      <c r="F25" s="93">
        <f t="shared" si="2"/>
        <v>2.8844564579768965E-3</v>
      </c>
      <c r="G25" s="18"/>
      <c r="L25"/>
    </row>
    <row r="26" spans="1:12" ht="15">
      <c r="B26" s="103" t="s">
        <v>71</v>
      </c>
      <c r="C26" s="504">
        <f t="shared" si="0"/>
        <v>5000</v>
      </c>
      <c r="D26" s="68">
        <f>ROUND(('3. Population-NSIP#'!E10*$H$15),0)</f>
        <v>201709</v>
      </c>
      <c r="E26" s="75">
        <f t="shared" si="1"/>
        <v>206709</v>
      </c>
      <c r="F26" s="93">
        <f t="shared" si="2"/>
        <v>2.2991675084716241E-2</v>
      </c>
      <c r="G26" s="18"/>
      <c r="L26"/>
    </row>
    <row r="27" spans="1:12" ht="15">
      <c r="B27" s="103" t="s">
        <v>65</v>
      </c>
      <c r="C27" s="504">
        <f t="shared" si="0"/>
        <v>5000</v>
      </c>
      <c r="D27" s="68">
        <f>ROUND(('3. Population-NSIP#'!E11*$H$15),0)</f>
        <v>864019</v>
      </c>
      <c r="E27" s="75">
        <f t="shared" si="1"/>
        <v>869019</v>
      </c>
      <c r="F27" s="93">
        <f t="shared" si="2"/>
        <v>9.6658599724467845E-2</v>
      </c>
      <c r="G27" s="18"/>
      <c r="L27"/>
    </row>
    <row r="28" spans="1:12" ht="15">
      <c r="B28" s="103" t="s">
        <v>221</v>
      </c>
      <c r="C28" s="504">
        <f t="shared" si="0"/>
        <v>5000</v>
      </c>
      <c r="D28" s="68">
        <f>ROUND(('3. Population-NSIP#'!E12*$H$15),0)+1</f>
        <v>1338314</v>
      </c>
      <c r="E28" s="75">
        <f t="shared" si="1"/>
        <v>1343314</v>
      </c>
      <c r="F28" s="93">
        <f t="shared" si="2"/>
        <v>0.14941313162344413</v>
      </c>
      <c r="G28" s="18"/>
      <c r="L28"/>
    </row>
    <row r="29" spans="1:12" ht="15">
      <c r="B29" s="103" t="s">
        <v>75</v>
      </c>
      <c r="C29" s="504">
        <f t="shared" si="0"/>
        <v>5000</v>
      </c>
      <c r="D29" s="68">
        <f>ROUND(('3. Population-NSIP#'!E13*$H$15),0)</f>
        <v>70450</v>
      </c>
      <c r="E29" s="75">
        <f t="shared" si="1"/>
        <v>75450</v>
      </c>
      <c r="F29" s="93">
        <f t="shared" si="2"/>
        <v>8.3920965470387857E-3</v>
      </c>
      <c r="G29" s="18"/>
      <c r="L29"/>
    </row>
    <row r="30" spans="1:12" ht="15">
      <c r="B30" s="103" t="s">
        <v>59</v>
      </c>
      <c r="C30" s="504">
        <f t="shared" si="0"/>
        <v>5000</v>
      </c>
      <c r="D30" s="68">
        <f>ROUND(('3. Population-NSIP#'!E14*$H$15),0)</f>
        <v>1231339</v>
      </c>
      <c r="E30" s="75">
        <f t="shared" si="1"/>
        <v>1236339</v>
      </c>
      <c r="F30" s="93">
        <f t="shared" si="2"/>
        <v>0.13751459579681094</v>
      </c>
      <c r="G30" s="18"/>
      <c r="L30"/>
    </row>
    <row r="31" spans="1:12" ht="15">
      <c r="B31" s="103" t="s">
        <v>64</v>
      </c>
      <c r="C31" s="504">
        <f t="shared" si="0"/>
        <v>5000</v>
      </c>
      <c r="D31" s="68">
        <f>ROUND(('3. Population-NSIP#'!E15*$H$15),0)</f>
        <v>618856</v>
      </c>
      <c r="E31" s="75">
        <f t="shared" si="1"/>
        <v>623856</v>
      </c>
      <c r="F31" s="93">
        <f t="shared" si="2"/>
        <v>6.9389791695817479E-2</v>
      </c>
      <c r="G31" s="18"/>
      <c r="L31"/>
    </row>
    <row r="32" spans="1:12" ht="15">
      <c r="B32" s="103" t="s">
        <v>68</v>
      </c>
      <c r="C32" s="504">
        <f t="shared" si="0"/>
        <v>5000</v>
      </c>
      <c r="D32" s="68">
        <f>ROUND(('3. Population-NSIP#'!E16*$H$15),0)</f>
        <v>850783</v>
      </c>
      <c r="E32" s="75">
        <f t="shared" si="1"/>
        <v>855783</v>
      </c>
      <c r="F32" s="93">
        <f t="shared" si="2"/>
        <v>9.5186395749695077E-2</v>
      </c>
      <c r="G32" s="18"/>
      <c r="L32"/>
    </row>
    <row r="33" spans="1:12" ht="15">
      <c r="B33" s="103" t="s">
        <v>67</v>
      </c>
      <c r="C33" s="504">
        <f t="shared" si="0"/>
        <v>5000</v>
      </c>
      <c r="D33" s="68">
        <f>ROUND(('3. Population-NSIP#'!E17*$H$15),0)</f>
        <v>278445</v>
      </c>
      <c r="E33" s="75">
        <f t="shared" si="1"/>
        <v>283445</v>
      </c>
      <c r="F33" s="93">
        <f t="shared" si="2"/>
        <v>3.1526809884365917E-2</v>
      </c>
      <c r="G33" s="18"/>
      <c r="L33"/>
    </row>
    <row r="34" spans="1:12" ht="15">
      <c r="B34" s="103" t="s">
        <v>63</v>
      </c>
      <c r="C34" s="504">
        <f t="shared" si="0"/>
        <v>5000</v>
      </c>
      <c r="D34" s="68">
        <f>ROUND(('3. Population-NSIP#'!E18*$H$15),0)</f>
        <v>1019036</v>
      </c>
      <c r="E34" s="75">
        <f t="shared" si="1"/>
        <v>1024036</v>
      </c>
      <c r="F34" s="93">
        <f t="shared" si="2"/>
        <v>0.11390071543596302</v>
      </c>
      <c r="G34" s="18"/>
      <c r="L34"/>
    </row>
    <row r="35" spans="1:12" s="1" customFormat="1" ht="15">
      <c r="A35"/>
      <c r="B35" s="71" t="s">
        <v>29</v>
      </c>
      <c r="C35" s="69">
        <f>SUM(C19:C34)</f>
        <v>80000</v>
      </c>
      <c r="D35" s="69">
        <f>SUM(D19:D34)</f>
        <v>8910602</v>
      </c>
      <c r="E35" s="67">
        <f>SUM(E19:E34)</f>
        <v>8990602</v>
      </c>
      <c r="F35" s="73">
        <f>SUM(F19:F34)</f>
        <v>1</v>
      </c>
      <c r="I35" s="197"/>
      <c r="K35" s="197"/>
    </row>
  </sheetData>
  <sheetProtection algorithmName="SHA-512" hashValue="70meYsLEDo8uY59Zauzq88w7VdvhUmPJC4APAF9AhaokttudxhmScCtuXzBhLJbA48ZGrjNY3DEiGKgZr4OkIA==" saltValue="tomtq7kt61ulcu9+AcL50Q==" spinCount="100000" sheet="1" objects="1" scenarios="1"/>
  <sortState xmlns:xlrd2="http://schemas.microsoft.com/office/spreadsheetml/2017/richdata2" ref="B19:I34">
    <sortCondition ref="B19"/>
  </sortState>
  <pageMargins left="0.75" right="0.75" top="1" bottom="0.5" header="0.25" footer="0.3"/>
  <pageSetup scale="80" orientation="landscape" horizontalDpi="1200" verticalDpi="1200" r:id="rId1"/>
  <headerFooter>
    <oddHeader>&amp;L&amp;G&amp;C&amp;"-,Bold"&amp;16 2023-2025 planning allocation
to Area Agencies on Aging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FF66"/>
    <pageSetUpPr fitToPage="1"/>
  </sheetPr>
  <dimension ref="A1:I37"/>
  <sheetViews>
    <sheetView zoomScaleNormal="100" workbookViewId="0">
      <selection activeCell="B9" sqref="B9"/>
    </sheetView>
  </sheetViews>
  <sheetFormatPr defaultRowHeight="15"/>
  <cols>
    <col min="1" max="1" width="22.140625" customWidth="1" collapsed="1"/>
    <col min="2" max="2" width="38" customWidth="1" collapsed="1"/>
    <col min="3" max="3" width="14" style="9" customWidth="1" collapsed="1"/>
    <col min="4" max="4" width="14.7109375" style="9" customWidth="1" collapsed="1"/>
    <col min="5" max="5" width="12.42578125" style="9" customWidth="1" collapsed="1"/>
    <col min="6" max="7" width="13.28515625" style="9" customWidth="1" collapsed="1"/>
    <col min="8" max="8" width="14" customWidth="1" collapsed="1"/>
    <col min="9" max="9" width="10.5703125" bestFit="1" customWidth="1" collapsed="1"/>
  </cols>
  <sheetData>
    <row r="1" spans="1:9" s="305" customFormat="1" ht="24" thickBot="1">
      <c r="A1" s="692" t="s">
        <v>33</v>
      </c>
      <c r="B1" s="684"/>
      <c r="C1" s="684"/>
      <c r="D1" s="684"/>
      <c r="E1" s="684"/>
      <c r="F1" s="684"/>
      <c r="G1" s="684"/>
      <c r="H1" s="685"/>
    </row>
    <row r="2" spans="1:9" s="64" customFormat="1" ht="36">
      <c r="A2" s="673" t="s">
        <v>477</v>
      </c>
      <c r="B2" s="673" t="s">
        <v>478</v>
      </c>
      <c r="C2" s="673" t="s">
        <v>22</v>
      </c>
      <c r="D2" s="673" t="s">
        <v>26</v>
      </c>
      <c r="E2" s="673" t="s">
        <v>390</v>
      </c>
      <c r="F2" s="673" t="s">
        <v>443</v>
      </c>
      <c r="G2" s="673" t="s">
        <v>444</v>
      </c>
      <c r="H2" s="673" t="s">
        <v>445</v>
      </c>
    </row>
    <row r="3" spans="1:9" ht="15.75">
      <c r="A3" s="677" t="str" cm="1">
        <f t="array" ref="A3">_xlfn.XLOOKUP($A$1,Titles,_xlfn.XLOOKUP(LEFT(B3,4),GrantYears,FAIN),"x",-1)</f>
        <v>2301OROAPH</v>
      </c>
      <c r="B3" s="48" t="s">
        <v>393</v>
      </c>
      <c r="C3" s="9">
        <f>'4. Award History&amp;Projections '!E16</f>
        <v>343647</v>
      </c>
      <c r="D3" s="6">
        <v>0.25</v>
      </c>
      <c r="E3" s="9">
        <f>ROUND(C3*D3,0)</f>
        <v>85912</v>
      </c>
      <c r="H3" s="9">
        <f>SUM(E3:G3)</f>
        <v>85912</v>
      </c>
    </row>
    <row r="4" spans="1:9" ht="15.75">
      <c r="A4" s="678" t="str" cm="1">
        <f t="array" ref="A4">_xlfn.XLOOKUP($A$1,Titles,_xlfn.XLOOKUP(LEFT(B4,4),GrantYears,FAIN),"x",-1)</f>
        <v>2401OROAPH</v>
      </c>
      <c r="B4" s="48" t="s">
        <v>441</v>
      </c>
      <c r="C4" s="18">
        <f>'4. Award History&amp;Projections '!E17</f>
        <v>343647</v>
      </c>
      <c r="D4" s="6">
        <v>1</v>
      </c>
      <c r="F4" s="9">
        <f>ROUND(C4*D4,0)</f>
        <v>343647</v>
      </c>
      <c r="H4" s="9">
        <f>SUM(E4:G4)</f>
        <v>343647</v>
      </c>
    </row>
    <row r="5" spans="1:9" ht="15.75">
      <c r="A5" s="679" t="str" cm="1">
        <f t="array" ref="A5">_xlfn.XLOOKUP($A$1,Titles,_xlfn.XLOOKUP(LEFT(B5,4),GrantYears,FAIN),"x",-1)</f>
        <v>2501OROAPH</v>
      </c>
      <c r="B5" s="48" t="s">
        <v>442</v>
      </c>
      <c r="C5" s="18">
        <f>'4. Award History&amp;Projections '!E18</f>
        <v>343647</v>
      </c>
      <c r="D5" s="6">
        <v>0.75</v>
      </c>
      <c r="E5" s="8"/>
      <c r="F5" s="8"/>
      <c r="G5" s="8">
        <f>ROUND(C5*D5,0)</f>
        <v>257735</v>
      </c>
      <c r="H5" s="8">
        <f>SUM(E5:G5)</f>
        <v>257735</v>
      </c>
    </row>
    <row r="6" spans="1:9">
      <c r="A6" s="190"/>
      <c r="B6" s="48" t="s">
        <v>23</v>
      </c>
      <c r="E6" s="9">
        <f>SUM(E3:E5)</f>
        <v>85912</v>
      </c>
      <c r="F6" s="9">
        <f>SUM(F3:F5)</f>
        <v>343647</v>
      </c>
      <c r="G6" s="9">
        <f>SUM(G3:G5)</f>
        <v>257735</v>
      </c>
      <c r="H6" s="9">
        <f>SUM(H3:H5)</f>
        <v>687294</v>
      </c>
    </row>
    <row r="7" spans="1:9">
      <c r="A7" s="190"/>
      <c r="B7" s="48" t="s">
        <v>24</v>
      </c>
      <c r="D7" s="5">
        <v>0</v>
      </c>
      <c r="E7" s="8">
        <f>ROUND($D$7*-E6,0)</f>
        <v>0</v>
      </c>
      <c r="F7" s="8">
        <f>ROUND($D$7*-F6,0)</f>
        <v>0</v>
      </c>
      <c r="G7" s="8">
        <f>ROUND($D$7*-G6,0)</f>
        <v>0</v>
      </c>
      <c r="H7" s="8">
        <f>SUM(E7:G7)</f>
        <v>0</v>
      </c>
    </row>
    <row r="8" spans="1:9">
      <c r="A8" s="190"/>
      <c r="B8" s="48" t="s">
        <v>23</v>
      </c>
      <c r="E8" s="9">
        <f>SUM(E6:E7)</f>
        <v>85912</v>
      </c>
      <c r="F8" s="9">
        <f>SUM(F6:F7)</f>
        <v>343647</v>
      </c>
      <c r="G8" s="9">
        <f>SUM(G6:G7)</f>
        <v>257735</v>
      </c>
      <c r="H8" s="9">
        <f>SUM(H6:H7)</f>
        <v>687294</v>
      </c>
    </row>
    <row r="9" spans="1:9" s="15" customFormat="1">
      <c r="A9" s="53"/>
      <c r="B9" s="53" t="s">
        <v>35</v>
      </c>
      <c r="C9" s="9"/>
      <c r="D9" s="9"/>
      <c r="E9" s="17"/>
      <c r="F9" s="17"/>
      <c r="G9" s="17"/>
      <c r="H9" s="17">
        <v>0</v>
      </c>
    </row>
    <row r="10" spans="1:9" s="1" customFormat="1" ht="15.75" thickBot="1">
      <c r="A10" s="46"/>
      <c r="B10" s="46" t="s">
        <v>29</v>
      </c>
      <c r="C10" s="10"/>
      <c r="D10" s="10"/>
      <c r="E10" s="14"/>
      <c r="F10" s="14"/>
      <c r="G10" s="14"/>
      <c r="H10" s="11">
        <f>H8</f>
        <v>687294</v>
      </c>
    </row>
    <row r="11" spans="1:9" s="686" customFormat="1" ht="15.75" thickTop="1">
      <c r="A11" s="693"/>
      <c r="B11" s="693"/>
      <c r="C11" s="688"/>
      <c r="D11" s="688"/>
      <c r="E11" s="689"/>
      <c r="F11" s="689"/>
      <c r="G11" s="689"/>
      <c r="H11" s="689"/>
    </row>
    <row r="12" spans="1:9">
      <c r="A12" s="63"/>
      <c r="B12" s="63" t="s">
        <v>144</v>
      </c>
      <c r="H12" s="9"/>
    </row>
    <row r="13" spans="1:9">
      <c r="A13" s="190"/>
      <c r="B13" s="48" t="s">
        <v>80</v>
      </c>
      <c r="C13" s="9">
        <f>'4. Award History&amp;Projections '!E19</f>
        <v>3000</v>
      </c>
      <c r="D13" s="9">
        <v>16</v>
      </c>
      <c r="H13" s="9">
        <f>C13*D13</f>
        <v>48000</v>
      </c>
      <c r="I13" s="12"/>
    </row>
    <row r="14" spans="1:9">
      <c r="A14" s="190"/>
      <c r="B14" s="48" t="s">
        <v>28</v>
      </c>
      <c r="D14" s="5">
        <v>0</v>
      </c>
      <c r="H14" s="9">
        <f>ROUND((H10-H13)*D14,0)</f>
        <v>0</v>
      </c>
    </row>
    <row r="15" spans="1:9">
      <c r="A15" s="190"/>
      <c r="B15" s="48" t="s">
        <v>37</v>
      </c>
      <c r="D15" s="5">
        <v>1</v>
      </c>
      <c r="H15" s="9">
        <f>H10-H13-H14</f>
        <v>639294</v>
      </c>
    </row>
    <row r="16" spans="1:9" s="1" customFormat="1" ht="15.75" thickBot="1">
      <c r="A16" s="46"/>
      <c r="B16" s="46" t="s">
        <v>29</v>
      </c>
      <c r="C16" s="10"/>
      <c r="D16" s="10"/>
      <c r="E16" s="10"/>
      <c r="F16" s="10"/>
      <c r="G16" s="10"/>
      <c r="H16" s="11">
        <f>SUM(H13:H15)</f>
        <v>687294</v>
      </c>
    </row>
    <row r="17" spans="1:8" s="169" customFormat="1" ht="6.75" customHeight="1" thickTop="1">
      <c r="A17" s="690"/>
      <c r="B17" s="690"/>
      <c r="C17" s="691"/>
      <c r="D17" s="691"/>
      <c r="E17" s="691"/>
      <c r="F17" s="691"/>
      <c r="G17" s="691"/>
      <c r="H17" s="690"/>
    </row>
    <row r="18" spans="1:8" s="64" customFormat="1" ht="90">
      <c r="A18"/>
      <c r="B18" s="154" t="s">
        <v>58</v>
      </c>
      <c r="C18" s="84" t="s">
        <v>191</v>
      </c>
      <c r="D18" s="84" t="s">
        <v>203</v>
      </c>
      <c r="E18" s="84" t="s">
        <v>232</v>
      </c>
      <c r="F18" s="88" t="s">
        <v>204</v>
      </c>
    </row>
    <row r="19" spans="1:8">
      <c r="B19" s="103" t="s">
        <v>72</v>
      </c>
      <c r="C19" s="68">
        <f>$C$13</f>
        <v>3000</v>
      </c>
      <c r="D19" s="68">
        <f>ROUND(('3. Population-NSIP#'!G3*$H$15),0)</f>
        <v>22739</v>
      </c>
      <c r="E19" s="68">
        <f t="shared" ref="E19:E34" si="0">SUM(C19:D19)</f>
        <v>25739</v>
      </c>
      <c r="F19" s="93">
        <f t="shared" ref="F19:F34" si="1">E19/$E$35</f>
        <v>3.744976676647839E-2</v>
      </c>
    </row>
    <row r="20" spans="1:8">
      <c r="B20" s="103" t="s">
        <v>61</v>
      </c>
      <c r="C20" s="68">
        <f t="shared" ref="C20:C34" si="2">$C$13</f>
        <v>3000</v>
      </c>
      <c r="D20" s="68">
        <f>ROUND(('3. Population-NSIP#'!G4*$H$15),0)</f>
        <v>7212</v>
      </c>
      <c r="E20" s="68">
        <f t="shared" si="0"/>
        <v>10212</v>
      </c>
      <c r="F20" s="93">
        <f t="shared" si="1"/>
        <v>1.485827025988878E-2</v>
      </c>
    </row>
    <row r="21" spans="1:8">
      <c r="B21" s="103" t="s">
        <v>73</v>
      </c>
      <c r="C21" s="68">
        <f t="shared" si="2"/>
        <v>3000</v>
      </c>
      <c r="D21" s="68">
        <f>ROUND(('3. Population-NSIP#'!G5*$H$15),0)</f>
        <v>11877</v>
      </c>
      <c r="E21" s="68">
        <f t="shared" si="0"/>
        <v>14877</v>
      </c>
      <c r="F21" s="93">
        <f t="shared" si="1"/>
        <v>2.1645758583662886E-2</v>
      </c>
    </row>
    <row r="22" spans="1:8">
      <c r="B22" s="103" t="s">
        <v>60</v>
      </c>
      <c r="C22" s="68">
        <f t="shared" si="2"/>
        <v>3000</v>
      </c>
      <c r="D22" s="68">
        <f>ROUND(('3. Population-NSIP#'!G6*$H$15),0)</f>
        <v>56109</v>
      </c>
      <c r="E22" s="68">
        <f t="shared" si="0"/>
        <v>59109</v>
      </c>
      <c r="F22" s="93">
        <f t="shared" si="1"/>
        <v>8.6002496748116525E-2</v>
      </c>
    </row>
    <row r="23" spans="1:8">
      <c r="B23" s="103" t="s">
        <v>541</v>
      </c>
      <c r="C23" s="68">
        <f t="shared" si="2"/>
        <v>3000</v>
      </c>
      <c r="D23" s="68">
        <f>ROUND(('3. Population-NSIP#'!G7*$H$15),0)</f>
        <v>36981</v>
      </c>
      <c r="E23" s="68">
        <f t="shared" si="0"/>
        <v>39981</v>
      </c>
      <c r="F23" s="93">
        <f t="shared" si="1"/>
        <v>5.8171612148512866E-2</v>
      </c>
    </row>
    <row r="24" spans="1:8">
      <c r="B24" s="103" t="s">
        <v>169</v>
      </c>
      <c r="C24" s="68">
        <f t="shared" si="2"/>
        <v>3000</v>
      </c>
      <c r="D24" s="68">
        <f>ROUND(('3. Population-NSIP#'!G8*$H$15),0)</f>
        <v>25656</v>
      </c>
      <c r="E24" s="68">
        <f t="shared" si="0"/>
        <v>28656</v>
      </c>
      <c r="F24" s="93">
        <f t="shared" si="1"/>
        <v>4.1693947568289556E-2</v>
      </c>
    </row>
    <row r="25" spans="1:8">
      <c r="B25" s="103" t="s">
        <v>74</v>
      </c>
      <c r="C25" s="68">
        <f t="shared" si="2"/>
        <v>3000</v>
      </c>
      <c r="D25" s="68">
        <f>ROUND(('3. Population-NSIP#'!G9*$H$15),0)</f>
        <v>1492</v>
      </c>
      <c r="E25" s="68">
        <f t="shared" si="0"/>
        <v>4492</v>
      </c>
      <c r="F25" s="93">
        <f t="shared" si="1"/>
        <v>6.5357765381336081E-3</v>
      </c>
    </row>
    <row r="26" spans="1:8">
      <c r="B26" s="103" t="s">
        <v>71</v>
      </c>
      <c r="C26" s="68">
        <f t="shared" si="2"/>
        <v>3000</v>
      </c>
      <c r="D26" s="68">
        <f>ROUND(('3. Population-NSIP#'!G10*$H$15),0)</f>
        <v>15243</v>
      </c>
      <c r="E26" s="68">
        <f t="shared" si="0"/>
        <v>18243</v>
      </c>
      <c r="F26" s="93">
        <f t="shared" si="1"/>
        <v>2.654322604300343E-2</v>
      </c>
    </row>
    <row r="27" spans="1:8">
      <c r="B27" s="103" t="s">
        <v>65</v>
      </c>
      <c r="C27" s="68">
        <f t="shared" si="2"/>
        <v>3000</v>
      </c>
      <c r="D27" s="68">
        <f>ROUND(('3. Population-NSIP#'!G11*$H$15),0)</f>
        <v>58913</v>
      </c>
      <c r="E27" s="68">
        <f t="shared" si="0"/>
        <v>61913</v>
      </c>
      <c r="F27" s="93">
        <f t="shared" si="1"/>
        <v>9.0082264649480423E-2</v>
      </c>
    </row>
    <row r="28" spans="1:8">
      <c r="B28" s="103" t="s">
        <v>221</v>
      </c>
      <c r="C28" s="68">
        <f t="shared" si="2"/>
        <v>3000</v>
      </c>
      <c r="D28" s="68">
        <f>ROUND(('3. Population-NSIP#'!G12*$H$15),0)</f>
        <v>100894</v>
      </c>
      <c r="E28" s="68">
        <f t="shared" si="0"/>
        <v>103894</v>
      </c>
      <c r="F28" s="93">
        <f t="shared" si="1"/>
        <v>0.15116383963776783</v>
      </c>
    </row>
    <row r="29" spans="1:8">
      <c r="B29" s="103" t="s">
        <v>75</v>
      </c>
      <c r="C29" s="68">
        <f t="shared" si="2"/>
        <v>3000</v>
      </c>
      <c r="D29" s="68">
        <f>ROUND(('3. Population-NSIP#'!G13*$H$15),0)</f>
        <v>5825</v>
      </c>
      <c r="E29" s="68">
        <f t="shared" si="0"/>
        <v>8825</v>
      </c>
      <c r="F29" s="93">
        <f t="shared" si="1"/>
        <v>1.2840211030505141E-2</v>
      </c>
    </row>
    <row r="30" spans="1:8">
      <c r="B30" s="103" t="s">
        <v>59</v>
      </c>
      <c r="C30" s="68">
        <f t="shared" si="2"/>
        <v>3000</v>
      </c>
      <c r="D30" s="68">
        <f>ROUND(('3. Population-NSIP#'!G14*$H$15),0)</f>
        <v>91551</v>
      </c>
      <c r="E30" s="68">
        <f t="shared" si="0"/>
        <v>94551</v>
      </c>
      <c r="F30" s="93">
        <f t="shared" si="1"/>
        <v>0.13756994823176108</v>
      </c>
    </row>
    <row r="31" spans="1:8">
      <c r="B31" s="103" t="s">
        <v>64</v>
      </c>
      <c r="C31" s="68">
        <f t="shared" si="2"/>
        <v>3000</v>
      </c>
      <c r="D31" s="68">
        <f>ROUND(('3. Population-NSIP#'!G15*$H$15),0)</f>
        <v>43805</v>
      </c>
      <c r="E31" s="68">
        <f t="shared" si="0"/>
        <v>46805</v>
      </c>
      <c r="F31" s="93">
        <f t="shared" si="1"/>
        <v>6.8100405357823579E-2</v>
      </c>
    </row>
    <row r="32" spans="1:8">
      <c r="B32" s="103" t="s">
        <v>68</v>
      </c>
      <c r="C32" s="68">
        <f t="shared" si="2"/>
        <v>3000</v>
      </c>
      <c r="D32" s="68">
        <f>ROUND(('3. Population-NSIP#'!G16*$H$15),0)</f>
        <v>64869</v>
      </c>
      <c r="E32" s="68">
        <f t="shared" si="0"/>
        <v>67869</v>
      </c>
      <c r="F32" s="93">
        <f t="shared" si="1"/>
        <v>9.8748133986328993E-2</v>
      </c>
    </row>
    <row r="33" spans="1:6">
      <c r="B33" s="103" t="s">
        <v>67</v>
      </c>
      <c r="C33" s="68">
        <f t="shared" si="2"/>
        <v>3000</v>
      </c>
      <c r="D33" s="68">
        <f>ROUND(('3. Population-NSIP#'!G17*$H$15),0)</f>
        <v>21119</v>
      </c>
      <c r="E33" s="68">
        <f t="shared" si="0"/>
        <v>24119</v>
      </c>
      <c r="F33" s="93">
        <f t="shared" si="1"/>
        <v>3.5092696866261021E-2</v>
      </c>
    </row>
    <row r="34" spans="1:6">
      <c r="B34" s="103" t="s">
        <v>63</v>
      </c>
      <c r="C34" s="68">
        <f t="shared" si="2"/>
        <v>3000</v>
      </c>
      <c r="D34" s="68">
        <f>ROUND(('3. Population-NSIP#'!G18*$H$15),0)</f>
        <v>75009</v>
      </c>
      <c r="E34" s="68">
        <f t="shared" si="0"/>
        <v>78009</v>
      </c>
      <c r="F34" s="93">
        <f t="shared" si="1"/>
        <v>0.11350164558398589</v>
      </c>
    </row>
    <row r="35" spans="1:6" s="1" customFormat="1">
      <c r="A35"/>
      <c r="B35" s="71" t="s">
        <v>29</v>
      </c>
      <c r="C35" s="69">
        <f>SUM(C19:C34)</f>
        <v>48000</v>
      </c>
      <c r="D35" s="69">
        <f>SUM(D19:D34)</f>
        <v>639294</v>
      </c>
      <c r="E35" s="69">
        <f>SUM(E19:E34)</f>
        <v>687294</v>
      </c>
      <c r="F35" s="73">
        <f>SUM(F19:F34)</f>
        <v>0.99999999999999989</v>
      </c>
    </row>
    <row r="37" spans="1:6">
      <c r="B37" s="359"/>
    </row>
  </sheetData>
  <sheetProtection algorithmName="SHA-512" hashValue="MB1JH1YAEhhsmib2qxO6GD4kvJBXZEu7CZWB6cORaQjHeMbCQE3hSiVVt1IP+JbyvmUKn3Dg1XKP6qcbHS4YEw==" saltValue="0wuR3bWj6pE6XBSfj2yeqA==" spinCount="100000" sheet="1" objects="1" scenarios="1"/>
  <sortState xmlns:xlrd2="http://schemas.microsoft.com/office/spreadsheetml/2017/richdata2" ref="B19:H34">
    <sortCondition ref="B19"/>
  </sortState>
  <pageMargins left="0.75" right="0.75" top="1" bottom="0.5" header="0.25" footer="0.3"/>
  <pageSetup scale="83" orientation="landscape" horizontalDpi="1200" verticalDpi="1200" r:id="rId1"/>
  <headerFooter>
    <oddHeader>&amp;L&amp;G&amp;C&amp;"-,Bold"&amp;16 2023-2025 planning allocation
to Area Agencies on Aging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FFFF66"/>
    <pageSetUpPr fitToPage="1"/>
  </sheetPr>
  <dimension ref="A1:I35"/>
  <sheetViews>
    <sheetView zoomScaleNormal="100" zoomScaleSheetLayoutView="75" workbookViewId="0">
      <selection activeCell="D19" sqref="D19"/>
    </sheetView>
  </sheetViews>
  <sheetFormatPr defaultRowHeight="15"/>
  <cols>
    <col min="1" max="1" width="22.140625" customWidth="1" collapsed="1"/>
    <col min="2" max="2" width="34.5703125" bestFit="1" customWidth="1" collapsed="1"/>
    <col min="3" max="7" width="13.28515625" style="9" customWidth="1" collapsed="1"/>
    <col min="8" max="8" width="14" customWidth="1" collapsed="1"/>
    <col min="9" max="9" width="10.5703125" bestFit="1" customWidth="1" collapsed="1"/>
  </cols>
  <sheetData>
    <row r="1" spans="1:9" s="305" customFormat="1" ht="24" thickBot="1">
      <c r="A1" s="692" t="s">
        <v>34</v>
      </c>
      <c r="B1" s="684"/>
      <c r="C1" s="684"/>
      <c r="D1" s="684"/>
      <c r="E1" s="684"/>
      <c r="F1" s="684"/>
      <c r="G1" s="684"/>
      <c r="H1" s="685"/>
    </row>
    <row r="2" spans="1:9" s="64" customFormat="1" ht="36">
      <c r="A2" s="673" t="s">
        <v>477</v>
      </c>
      <c r="B2" s="673" t="s">
        <v>478</v>
      </c>
      <c r="C2" s="673" t="s">
        <v>22</v>
      </c>
      <c r="D2" s="673" t="s">
        <v>26</v>
      </c>
      <c r="E2" s="673" t="s">
        <v>390</v>
      </c>
      <c r="F2" s="673" t="s">
        <v>443</v>
      </c>
      <c r="G2" s="673" t="s">
        <v>444</v>
      </c>
      <c r="H2" s="673" t="s">
        <v>445</v>
      </c>
    </row>
    <row r="3" spans="1:9" ht="15.75">
      <c r="A3" s="677" t="str" cm="1">
        <f t="array" ref="A3">_xlfn.XLOOKUP($A$1,Titles,_xlfn.XLOOKUP(LEFT(B3,4),GrantYears,FAIN),"x",-1)</f>
        <v>2301OROAFC</v>
      </c>
      <c r="B3" s="48" t="s">
        <v>393</v>
      </c>
      <c r="C3" s="9">
        <f>'4. Award History&amp;Projections '!F16</f>
        <v>2600845</v>
      </c>
      <c r="D3" s="6">
        <v>0.25</v>
      </c>
      <c r="E3" s="9">
        <f>ROUND(C3*D3,0)</f>
        <v>650211</v>
      </c>
      <c r="H3" s="9">
        <f>SUM(E3:G3)</f>
        <v>650211</v>
      </c>
    </row>
    <row r="4" spans="1:9" ht="15.75">
      <c r="A4" s="678" t="str" cm="1">
        <f t="array" ref="A4">_xlfn.XLOOKUP($A$1,Titles,_xlfn.XLOOKUP(LEFT(B4,4),GrantYears,FAIN),"x",-1)</f>
        <v>2401OROAFC</v>
      </c>
      <c r="B4" s="48" t="s">
        <v>441</v>
      </c>
      <c r="C4" s="18">
        <f>'4. Award History&amp;Projections '!F17</f>
        <v>2600845</v>
      </c>
      <c r="D4" s="6">
        <v>1</v>
      </c>
      <c r="F4" s="9">
        <f>ROUND(C4*D4,0)</f>
        <v>2600845</v>
      </c>
      <c r="H4" s="9">
        <f>SUM(E4:G4)</f>
        <v>2600845</v>
      </c>
    </row>
    <row r="5" spans="1:9" ht="15.75">
      <c r="A5" s="679" t="str" cm="1">
        <f t="array" ref="A5">_xlfn.XLOOKUP($A$1,Titles,_xlfn.XLOOKUP(LEFT(B5,4),GrantYears,FAIN),"x",-1)</f>
        <v>2501OROAFC</v>
      </c>
      <c r="B5" s="48" t="s">
        <v>442</v>
      </c>
      <c r="C5" s="18">
        <f>'4. Award History&amp;Projections '!F18</f>
        <v>2600845</v>
      </c>
      <c r="D5" s="6">
        <v>0.75</v>
      </c>
      <c r="E5" s="8"/>
      <c r="F5" s="8"/>
      <c r="G5" s="8">
        <f>ROUND(C5*D5,0)</f>
        <v>1950634</v>
      </c>
      <c r="H5" s="8">
        <f>SUM(E5:G5)</f>
        <v>1950634</v>
      </c>
    </row>
    <row r="6" spans="1:9">
      <c r="A6" s="190"/>
      <c r="B6" s="48" t="s">
        <v>23</v>
      </c>
      <c r="E6" s="9">
        <f>SUM(E3:E5)</f>
        <v>650211</v>
      </c>
      <c r="F6" s="9">
        <f>SUM(F3:F5)</f>
        <v>2600845</v>
      </c>
      <c r="G6" s="9">
        <f>SUM(G3:G5)</f>
        <v>1950634</v>
      </c>
      <c r="H6" s="9">
        <f>SUM(H3:H5)</f>
        <v>5201690</v>
      </c>
    </row>
    <row r="7" spans="1:9">
      <c r="A7" s="190"/>
      <c r="B7" s="48" t="s">
        <v>24</v>
      </c>
      <c r="D7" s="5">
        <v>0.05</v>
      </c>
      <c r="E7" s="8">
        <f>ROUND($D$7*-E6,0)</f>
        <v>-32511</v>
      </c>
      <c r="F7" s="8">
        <f>ROUND($D$7*-F6,0)</f>
        <v>-130042</v>
      </c>
      <c r="G7" s="8">
        <f>ROUND($D$7*-G6,0)</f>
        <v>-97532</v>
      </c>
      <c r="H7" s="8">
        <f>SUM(E7:G7)</f>
        <v>-260085</v>
      </c>
    </row>
    <row r="8" spans="1:9">
      <c r="A8" s="190"/>
      <c r="B8" s="48" t="s">
        <v>23</v>
      </c>
      <c r="E8" s="9">
        <f>SUM(E6:E7)</f>
        <v>617700</v>
      </c>
      <c r="F8" s="9">
        <f>SUM(F6:F7)</f>
        <v>2470803</v>
      </c>
      <c r="G8" s="9">
        <f>SUM(G6:G7)</f>
        <v>1853102</v>
      </c>
      <c r="H8" s="9">
        <f>SUM(H6:H7)</f>
        <v>4941605</v>
      </c>
    </row>
    <row r="9" spans="1:9" s="15" customFormat="1">
      <c r="A9" s="53"/>
      <c r="B9" s="53"/>
      <c r="C9" s="9"/>
      <c r="D9" s="9"/>
      <c r="E9" s="17"/>
      <c r="F9" s="17"/>
      <c r="G9" s="17"/>
      <c r="H9" s="17">
        <v>0</v>
      </c>
    </row>
    <row r="10" spans="1:9" s="1" customFormat="1" ht="15.75" thickBot="1">
      <c r="A10" s="46"/>
      <c r="B10" s="46" t="s">
        <v>29</v>
      </c>
      <c r="C10" s="10"/>
      <c r="D10" s="10"/>
      <c r="E10" s="14"/>
      <c r="F10" s="14"/>
      <c r="G10" s="14"/>
      <c r="H10" s="11">
        <f>H8</f>
        <v>4941605</v>
      </c>
    </row>
    <row r="11" spans="1:9" s="686" customFormat="1" ht="15.75" thickTop="1">
      <c r="A11" s="83"/>
      <c r="B11" s="83"/>
      <c r="C11" s="81"/>
      <c r="D11" s="81"/>
      <c r="E11" s="82"/>
      <c r="F11" s="82"/>
      <c r="G11" s="82"/>
      <c r="H11" s="82"/>
    </row>
    <row r="12" spans="1:9">
      <c r="A12" s="63"/>
      <c r="B12" s="63" t="s">
        <v>144</v>
      </c>
      <c r="H12" s="9"/>
    </row>
    <row r="13" spans="1:9">
      <c r="A13" s="76"/>
      <c r="B13" s="76" t="s">
        <v>79</v>
      </c>
      <c r="C13" s="9">
        <v>0</v>
      </c>
      <c r="D13" s="9">
        <v>0</v>
      </c>
      <c r="H13" s="9">
        <f>C13*D13</f>
        <v>0</v>
      </c>
      <c r="I13" s="12"/>
    </row>
    <row r="14" spans="1:9">
      <c r="A14" s="190"/>
      <c r="B14" s="48" t="s">
        <v>28</v>
      </c>
      <c r="D14" s="5">
        <v>0.05</v>
      </c>
      <c r="H14" s="9">
        <f>ROUND((H10-H13)*D14,0)</f>
        <v>247080</v>
      </c>
    </row>
    <row r="15" spans="1:9">
      <c r="A15" s="190"/>
      <c r="B15" s="48" t="s">
        <v>37</v>
      </c>
      <c r="D15" s="5">
        <v>0.95</v>
      </c>
      <c r="H15" s="9">
        <f>H10-H13-H14</f>
        <v>4694525</v>
      </c>
    </row>
    <row r="16" spans="1:9" s="1" customFormat="1" ht="15.75" thickBot="1">
      <c r="A16" s="46"/>
      <c r="B16" s="46" t="s">
        <v>29</v>
      </c>
      <c r="C16" s="10"/>
      <c r="D16" s="10"/>
      <c r="E16" s="10"/>
      <c r="F16" s="10"/>
      <c r="G16" s="10"/>
      <c r="H16" s="11">
        <f>SUM(H13:H15)</f>
        <v>4941605</v>
      </c>
    </row>
    <row r="17" spans="1:8" s="169" customFormat="1" ht="6.75" customHeight="1" thickTop="1">
      <c r="A17" s="77"/>
      <c r="B17" s="77"/>
      <c r="C17" s="78"/>
      <c r="D17" s="78"/>
      <c r="E17" s="78"/>
      <c r="F17" s="78"/>
      <c r="G17" s="78"/>
      <c r="H17" s="77"/>
    </row>
    <row r="18" spans="1:8" s="64" customFormat="1" ht="90">
      <c r="A18" s="731"/>
      <c r="B18" s="154" t="s">
        <v>58</v>
      </c>
      <c r="C18" s="84" t="s">
        <v>202</v>
      </c>
      <c r="D18" s="84" t="s">
        <v>203</v>
      </c>
      <c r="E18" s="84" t="s">
        <v>233</v>
      </c>
      <c r="F18" s="85" t="s">
        <v>204</v>
      </c>
      <c r="H18" s="86"/>
    </row>
    <row r="19" spans="1:8">
      <c r="A19" s="730"/>
      <c r="B19" s="732" t="s">
        <v>72</v>
      </c>
      <c r="C19" s="68">
        <f>SUM(('3. Population-NSIP#'!C3*$H$14),0)</f>
        <v>30615.581702097294</v>
      </c>
      <c r="D19" s="68">
        <f>SUM(('3. Population-NSIP#'!I3*$H$15),0)</f>
        <v>187450.30144121099</v>
      </c>
      <c r="E19" s="68">
        <f>SUM(C19:D19)</f>
        <v>218065.88314330828</v>
      </c>
      <c r="F19" s="93">
        <f t="shared" ref="F19:F34" si="0">E19/$E$35</f>
        <v>4.4128554010955605E-2</v>
      </c>
      <c r="H19" s="9"/>
    </row>
    <row r="20" spans="1:8">
      <c r="A20" s="730"/>
      <c r="B20" s="732" t="s">
        <v>61</v>
      </c>
      <c r="C20" s="68">
        <f>SUM(('3. Population-NSIP#'!C4*$H$14),0)</f>
        <v>1692.0909300688991</v>
      </c>
      <c r="D20" s="68">
        <f>SUM(('3. Population-NSIP#'!I4*$H$15),0)</f>
        <v>58106.100091915971</v>
      </c>
      <c r="E20" s="68">
        <f t="shared" ref="E20:E34" si="1">SUM(C20:D20)</f>
        <v>59798.191021984872</v>
      </c>
      <c r="F20" s="93">
        <f t="shared" si="0"/>
        <v>1.2100965379059005E-2</v>
      </c>
      <c r="H20" s="9"/>
    </row>
    <row r="21" spans="1:8">
      <c r="A21" s="730"/>
      <c r="B21" s="732" t="s">
        <v>73</v>
      </c>
      <c r="C21" s="68">
        <f>SUM(('3. Population-NSIP#'!C5*$H$14),0)</f>
        <v>32895.847722711318</v>
      </c>
      <c r="D21" s="68">
        <f>SUM(('3. Population-NSIP#'!I5*$H$15),0)</f>
        <v>89573.31835902459</v>
      </c>
      <c r="E21" s="68">
        <f t="shared" si="1"/>
        <v>122469.16608173591</v>
      </c>
      <c r="F21" s="93">
        <f t="shared" si="0"/>
        <v>2.4783277109711503E-2</v>
      </c>
      <c r="H21" s="9"/>
    </row>
    <row r="22" spans="1:8">
      <c r="A22" s="730"/>
      <c r="B22" s="732" t="s">
        <v>60</v>
      </c>
      <c r="C22" s="68">
        <f>SUM(('3. Population-NSIP#'!C6*$H$14),0)</f>
        <v>4814.3353844567109</v>
      </c>
      <c r="D22" s="68">
        <f>SUM(('3. Population-NSIP#'!I6*$H$15),0)</f>
        <v>455908.17346737994</v>
      </c>
      <c r="E22" s="68">
        <f t="shared" si="1"/>
        <v>460722.50885183667</v>
      </c>
      <c r="F22" s="93">
        <f t="shared" si="0"/>
        <v>9.323337434939391E-2</v>
      </c>
      <c r="H22" s="9"/>
    </row>
    <row r="23" spans="1:8">
      <c r="A23" s="142"/>
      <c r="B23" s="103" t="s">
        <v>541</v>
      </c>
      <c r="C23" s="68">
        <f>SUM(('3. Population-NSIP#'!C7*$H$14),0)</f>
        <v>20021.299897226792</v>
      </c>
      <c r="D23" s="68">
        <f>SUM(('3. Population-NSIP#'!I7*$H$15),0)</f>
        <v>283524.385344251</v>
      </c>
      <c r="E23" s="68">
        <f t="shared" si="1"/>
        <v>303545.6852414778</v>
      </c>
      <c r="F23" s="93">
        <f t="shared" si="0"/>
        <v>6.142653758070056E-2</v>
      </c>
      <c r="H23" s="9"/>
    </row>
    <row r="24" spans="1:8">
      <c r="A24" s="142"/>
      <c r="B24" s="732" t="s">
        <v>169</v>
      </c>
      <c r="C24" s="68">
        <f>SUM(('3. Population-NSIP#'!C8*$H$14),0)</f>
        <v>12963.224551389469</v>
      </c>
      <c r="D24" s="68">
        <f>SUM(('3. Population-NSIP#'!I8*$H$15),0)</f>
        <v>185287.8240418034</v>
      </c>
      <c r="E24" s="68">
        <f t="shared" si="1"/>
        <v>198251.04859319286</v>
      </c>
      <c r="F24" s="93">
        <f t="shared" si="0"/>
        <v>4.0118756677879529E-2</v>
      </c>
      <c r="H24" s="9"/>
    </row>
    <row r="25" spans="1:8">
      <c r="B25" s="103" t="s">
        <v>74</v>
      </c>
      <c r="C25" s="68">
        <f>SUM(('3. Population-NSIP#'!C9*$H$14),0)</f>
        <v>26083.493138989699</v>
      </c>
      <c r="D25" s="68">
        <f>SUM(('3. Population-NSIP#'!I9*$H$15),0)</f>
        <v>11046.245825861473</v>
      </c>
      <c r="E25" s="68">
        <f t="shared" si="1"/>
        <v>37129.738964851174</v>
      </c>
      <c r="F25" s="93">
        <f t="shared" si="0"/>
        <v>7.5137002987594468E-3</v>
      </c>
      <c r="H25" s="9"/>
    </row>
    <row r="26" spans="1:8">
      <c r="B26" s="103" t="s">
        <v>71</v>
      </c>
      <c r="C26" s="68">
        <f>SUM(('3. Population-NSIP#'!C10*$H$14),0)</f>
        <v>36242.988709532066</v>
      </c>
      <c r="D26" s="68">
        <f>SUM(('3. Population-NSIP#'!I10*$H$15),0)</f>
        <v>108873.66882156501</v>
      </c>
      <c r="E26" s="68">
        <f t="shared" si="1"/>
        <v>145116.65753109707</v>
      </c>
      <c r="F26" s="93">
        <f t="shared" si="0"/>
        <v>2.9366300530110575E-2</v>
      </c>
      <c r="H26" s="9"/>
    </row>
    <row r="27" spans="1:8">
      <c r="B27" s="103" t="s">
        <v>65</v>
      </c>
      <c r="C27" s="68">
        <f>SUM(('3. Population-NSIP#'!C11*$H$14),0)</f>
        <v>11720.051502244289</v>
      </c>
      <c r="D27" s="68">
        <f>SUM(('3. Population-NSIP#'!I11*$H$15),0)</f>
        <v>453351.81484992924</v>
      </c>
      <c r="E27" s="68">
        <f t="shared" si="1"/>
        <v>465071.86635217356</v>
      </c>
      <c r="F27" s="93">
        <f t="shared" si="0"/>
        <v>9.4113525130433043E-2</v>
      </c>
      <c r="H27" s="9"/>
    </row>
    <row r="28" spans="1:8">
      <c r="B28" s="103" t="s">
        <v>221</v>
      </c>
      <c r="C28" s="68">
        <f>SUM(('3. Population-NSIP#'!C12*$H$14),0)</f>
        <v>1110.196571344037</v>
      </c>
      <c r="D28" s="68">
        <f>SUM(('3. Population-NSIP#'!I12*$H$15),0)</f>
        <v>700517.36799802713</v>
      </c>
      <c r="E28" s="68">
        <f t="shared" si="1"/>
        <v>701627.56456937117</v>
      </c>
      <c r="F28" s="93">
        <f t="shared" si="0"/>
        <v>0.14198374102530881</v>
      </c>
      <c r="H28" s="9"/>
    </row>
    <row r="29" spans="1:8">
      <c r="B29" s="103" t="s">
        <v>75</v>
      </c>
      <c r="C29" s="68">
        <f>SUM(('3. Population-NSIP#'!C13*$H$14),0)</f>
        <v>25451.198481477644</v>
      </c>
      <c r="D29" s="68">
        <f>SUM(('3. Population-NSIP#'!I13*$H$15),0)</f>
        <v>38742.329665811529</v>
      </c>
      <c r="E29" s="68">
        <f t="shared" si="1"/>
        <v>64193.528147289173</v>
      </c>
      <c r="F29" s="93">
        <f t="shared" si="0"/>
        <v>1.2990420753437228E-2</v>
      </c>
      <c r="H29" s="9"/>
    </row>
    <row r="30" spans="1:8">
      <c r="B30" s="103" t="s">
        <v>59</v>
      </c>
      <c r="C30" s="68">
        <f>SUM(('3. Population-NSIP#'!C14*$H$14),0)</f>
        <v>11765.071993857568</v>
      </c>
      <c r="D30" s="68">
        <f>SUM(('3. Population-NSIP#'!I14*$H$15),0)</f>
        <v>654028.88585084595</v>
      </c>
      <c r="E30" s="68">
        <f t="shared" si="1"/>
        <v>665793.95784470357</v>
      </c>
      <c r="F30" s="93">
        <f t="shared" si="0"/>
        <v>0.13473233045634031</v>
      </c>
      <c r="H30" s="9"/>
    </row>
    <row r="31" spans="1:8">
      <c r="B31" s="103" t="s">
        <v>64</v>
      </c>
      <c r="C31" s="68">
        <f>SUM(('3. Population-NSIP#'!C15*$H$14),0)</f>
        <v>10156.87001871587</v>
      </c>
      <c r="D31" s="68">
        <f>SUM(('3. Population-NSIP#'!I15*$H$15),0)</f>
        <v>329103.07375294255</v>
      </c>
      <c r="E31" s="68">
        <f t="shared" si="1"/>
        <v>339259.94377165841</v>
      </c>
      <c r="F31" s="93">
        <f t="shared" si="0"/>
        <v>6.8653796442989357E-2</v>
      </c>
      <c r="H31" s="9"/>
    </row>
    <row r="32" spans="1:8">
      <c r="B32" s="103" t="s">
        <v>68</v>
      </c>
      <c r="C32" s="68">
        <f>SUM(('3. Population-NSIP#'!C16*$H$14),0)</f>
        <v>11385.679754927827</v>
      </c>
      <c r="D32" s="68">
        <f>SUM(('3. Population-NSIP#'!I16*$H$15),0)</f>
        <v>460701.29104056628</v>
      </c>
      <c r="E32" s="68">
        <f t="shared" si="1"/>
        <v>472086.9707954941</v>
      </c>
      <c r="F32" s="93">
        <f t="shared" si="0"/>
        <v>9.5533125532189261E-2</v>
      </c>
      <c r="H32" s="9"/>
    </row>
    <row r="33" spans="1:8">
      <c r="B33" s="103" t="s">
        <v>67</v>
      </c>
      <c r="C33" s="68">
        <f>SUM(('3. Population-NSIP#'!C17*$H$14),0)</f>
        <v>8297.8506220305553</v>
      </c>
      <c r="D33" s="68">
        <f>SUM(('3. Population-NSIP#'!I17*$H$15),0)</f>
        <v>151598.74320981684</v>
      </c>
      <c r="E33" s="68">
        <f t="shared" si="1"/>
        <v>159896.59383184739</v>
      </c>
      <c r="F33" s="93">
        <f t="shared" si="0"/>
        <v>3.2357218723845269E-2</v>
      </c>
      <c r="H33" s="9"/>
    </row>
    <row r="34" spans="1:8">
      <c r="B34" s="103" t="s">
        <v>63</v>
      </c>
      <c r="C34" s="68">
        <f>SUM(('3. Population-NSIP#'!C18*$H$14),0)</f>
        <v>1864.2190189299604</v>
      </c>
      <c r="D34" s="68">
        <f>SUM(('3. Population-NSIP#'!I18*$H$15),0)</f>
        <v>526711.4762390476</v>
      </c>
      <c r="E34" s="68">
        <f t="shared" si="1"/>
        <v>528575.69525797758</v>
      </c>
      <c r="F34" s="93">
        <f t="shared" si="0"/>
        <v>0.10696437599888652</v>
      </c>
      <c r="H34" s="9"/>
    </row>
    <row r="35" spans="1:8" s="1" customFormat="1">
      <c r="A35"/>
      <c r="B35" s="71" t="s">
        <v>29</v>
      </c>
      <c r="C35" s="69">
        <f>SUM(C19:C34)</f>
        <v>247080.00000000003</v>
      </c>
      <c r="D35" s="69">
        <f>SUM(D19:D34)</f>
        <v>4694525</v>
      </c>
      <c r="E35" s="69">
        <f>SUM(E19:E34)</f>
        <v>4941605</v>
      </c>
      <c r="F35" s="72">
        <f>SUM(F19:F34)</f>
        <v>1</v>
      </c>
      <c r="H35" s="10"/>
    </row>
  </sheetData>
  <sheetProtection algorithmName="SHA-512" hashValue="S+ylFL79pBaCY77Mu2ed3lj9DC9W0cI2Noc/vHtW1Nap4+EYgp3LCjQURxbXK8d39TfpmR2xT2wIO3TBhgk6Zg==" saltValue="IfcmtOerS94GL1ghKOWNOg==" spinCount="100000" sheet="1" objects="1" scenarios="1"/>
  <sortState xmlns:xlrd2="http://schemas.microsoft.com/office/spreadsheetml/2017/richdata2" ref="B19:G34">
    <sortCondition ref="B19"/>
  </sortState>
  <pageMargins left="0.75" right="0.75" top="1" bottom="0.5" header="0.25" footer="0.3"/>
  <pageSetup scale="83" orientation="landscape" horizontalDpi="1200" verticalDpi="1200" r:id="rId1"/>
  <headerFooter>
    <oddHeader>&amp;L&amp;G&amp;C&amp;"-,Bold"&amp;16 2023-2025 planning allocation
to Area Agencies on Aging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C000"/>
    <pageSetUpPr fitToPage="1"/>
  </sheetPr>
  <dimension ref="A1:S45"/>
  <sheetViews>
    <sheetView zoomScale="70" zoomScaleNormal="70" workbookViewId="0">
      <selection activeCell="J24" sqref="J24"/>
    </sheetView>
  </sheetViews>
  <sheetFormatPr defaultColWidth="9.140625" defaultRowHeight="18.75"/>
  <cols>
    <col min="1" max="1" width="83.5703125" style="91" customWidth="1" collapsed="1"/>
    <col min="2" max="2" width="16.5703125" style="104" customWidth="1" collapsed="1"/>
    <col min="3" max="3" width="11" style="104" customWidth="1" collapsed="1"/>
    <col min="4" max="4" width="14.7109375" style="104" customWidth="1" collapsed="1"/>
    <col min="5" max="5" width="13.7109375" style="104" customWidth="1" collapsed="1"/>
    <col min="6" max="6" width="16.7109375" style="104" customWidth="1" collapsed="1"/>
    <col min="7" max="7" width="21.42578125" style="91" customWidth="1" collapsed="1"/>
    <col min="8" max="8" width="13.42578125" style="91" customWidth="1" collapsed="1"/>
    <col min="9" max="10" width="9.140625" style="91" collapsed="1"/>
    <col min="11" max="11" width="83.5703125" style="91" bestFit="1" customWidth="1" collapsed="1"/>
    <col min="12" max="12" width="16.5703125" style="104" customWidth="1" collapsed="1"/>
    <col min="13" max="13" width="11" style="104" customWidth="1" collapsed="1"/>
    <col min="14" max="14" width="14.7109375" style="104" customWidth="1" collapsed="1"/>
    <col min="15" max="15" width="13.7109375" style="104" customWidth="1" collapsed="1"/>
    <col min="16" max="16" width="16.7109375" style="104" customWidth="1" collapsed="1"/>
    <col min="17" max="17" width="21.42578125" style="91" customWidth="1" collapsed="1"/>
    <col min="18" max="18" width="13.42578125" style="91" customWidth="1" collapsed="1"/>
    <col min="19" max="19" width="11.7109375" style="91" bestFit="1" customWidth="1" collapsed="1"/>
    <col min="20" max="16384" width="9.140625" style="91" collapsed="1"/>
  </cols>
  <sheetData>
    <row r="1" spans="1:19">
      <c r="K1" s="402" t="s">
        <v>369</v>
      </c>
    </row>
    <row r="2" spans="1:19" ht="37.5">
      <c r="A2" s="105" t="s">
        <v>44</v>
      </c>
      <c r="B2" s="106" t="s">
        <v>22</v>
      </c>
      <c r="C2" s="106" t="s">
        <v>26</v>
      </c>
      <c r="D2" s="292" t="s">
        <v>306</v>
      </c>
      <c r="E2" s="292" t="s">
        <v>374</v>
      </c>
      <c r="F2" s="292" t="s">
        <v>375</v>
      </c>
      <c r="G2" s="292" t="s">
        <v>377</v>
      </c>
      <c r="H2" s="107"/>
      <c r="K2" s="105" t="s">
        <v>44</v>
      </c>
      <c r="L2" s="106" t="s">
        <v>22</v>
      </c>
      <c r="M2" s="106" t="s">
        <v>26</v>
      </c>
      <c r="N2" s="292" t="s">
        <v>164</v>
      </c>
      <c r="O2" s="292" t="s">
        <v>305</v>
      </c>
      <c r="P2" s="292" t="s">
        <v>306</v>
      </c>
      <c r="Q2" s="292" t="s">
        <v>308</v>
      </c>
      <c r="R2" s="107"/>
    </row>
    <row r="3" spans="1:19">
      <c r="A3" s="290" t="s">
        <v>302</v>
      </c>
      <c r="B3" s="109">
        <v>224158</v>
      </c>
      <c r="C3" s="110">
        <v>0.25</v>
      </c>
      <c r="D3" s="109">
        <f>ROUND(B3*C3,0)</f>
        <v>56040</v>
      </c>
      <c r="E3" s="109"/>
      <c r="F3" s="109"/>
      <c r="G3" s="109">
        <f>SUM(D3:F3)</f>
        <v>56040</v>
      </c>
      <c r="K3" s="290" t="s">
        <v>326</v>
      </c>
      <c r="L3" s="109">
        <v>211238</v>
      </c>
      <c r="M3" s="110">
        <v>0.25</v>
      </c>
      <c r="N3" s="109">
        <f>ROUND(L3*M3,0)</f>
        <v>52810</v>
      </c>
      <c r="O3" s="109"/>
      <c r="P3" s="109"/>
      <c r="Q3" s="109">
        <f>SUM(N3:P3)</f>
        <v>52810</v>
      </c>
    </row>
    <row r="4" spans="1:19">
      <c r="A4" s="290" t="s">
        <v>319</v>
      </c>
      <c r="B4" s="109">
        <v>224158</v>
      </c>
      <c r="C4" s="111">
        <v>1</v>
      </c>
      <c r="D4" s="109"/>
      <c r="E4" s="109">
        <f>ROUND(B4*C4,0)</f>
        <v>224158</v>
      </c>
      <c r="F4" s="109"/>
      <c r="G4" s="109">
        <f>SUM(D4:F4)</f>
        <v>224158</v>
      </c>
      <c r="K4" s="290" t="s">
        <v>327</v>
      </c>
      <c r="L4" s="109">
        <v>225541</v>
      </c>
      <c r="M4" s="111">
        <v>1</v>
      </c>
      <c r="N4" s="109"/>
      <c r="O4" s="109">
        <f>ROUND(L4*M4,0)</f>
        <v>225541</v>
      </c>
      <c r="P4" s="109"/>
      <c r="Q4" s="109">
        <f>SUM(N4:P4)</f>
        <v>225541</v>
      </c>
    </row>
    <row r="5" spans="1:19">
      <c r="A5" s="290" t="s">
        <v>320</v>
      </c>
      <c r="B5" s="376">
        <v>224158</v>
      </c>
      <c r="C5" s="111">
        <v>0.75</v>
      </c>
      <c r="D5" s="109"/>
      <c r="E5" s="109"/>
      <c r="F5" s="109">
        <f>ROUND(B5*C5,0)</f>
        <v>168119</v>
      </c>
      <c r="G5" s="109">
        <f>SUM(D5:F5)</f>
        <v>168119</v>
      </c>
      <c r="K5" s="290" t="s">
        <v>328</v>
      </c>
      <c r="L5" s="109">
        <v>224158</v>
      </c>
      <c r="M5" s="111">
        <v>0.75</v>
      </c>
      <c r="N5" s="109"/>
      <c r="O5" s="109"/>
      <c r="P5" s="109">
        <f>ROUND(L5*M5,0)</f>
        <v>168119</v>
      </c>
      <c r="Q5" s="109">
        <f>SUM(N5:P5)</f>
        <v>168119</v>
      </c>
    </row>
    <row r="6" spans="1:19">
      <c r="A6" s="108" t="s">
        <v>23</v>
      </c>
      <c r="B6" s="109"/>
      <c r="C6" s="112"/>
      <c r="D6" s="109">
        <f>SUM(D3:D5)</f>
        <v>56040</v>
      </c>
      <c r="E6" s="109">
        <f>SUM(E3:E5)</f>
        <v>224158</v>
      </c>
      <c r="F6" s="109">
        <f>SUM(F3:F5)</f>
        <v>168119</v>
      </c>
      <c r="G6" s="109">
        <f>SUM(G3:G5)</f>
        <v>448317</v>
      </c>
      <c r="K6" s="108" t="s">
        <v>23</v>
      </c>
      <c r="L6" s="109"/>
      <c r="M6" s="112"/>
      <c r="N6" s="109">
        <f>SUM(N3:N5)</f>
        <v>52810</v>
      </c>
      <c r="O6" s="109">
        <f>SUM(O3:O5)</f>
        <v>225541</v>
      </c>
      <c r="P6" s="109">
        <f>SUM(P3:P5)</f>
        <v>168119</v>
      </c>
      <c r="Q6" s="109">
        <f>SUM(Q3:Q5)</f>
        <v>446470</v>
      </c>
    </row>
    <row r="7" spans="1:19" ht="19.5" thickBot="1">
      <c r="A7" s="108" t="s">
        <v>24</v>
      </c>
      <c r="B7" s="109"/>
      <c r="C7" s="113">
        <v>0</v>
      </c>
      <c r="D7" s="114">
        <f>ROUND($C$7*-D6,0)</f>
        <v>0</v>
      </c>
      <c r="E7" s="114">
        <f>ROUND($C$7*-E6,0)</f>
        <v>0</v>
      </c>
      <c r="F7" s="114">
        <f>ROUND($C$7*-F6,0)</f>
        <v>0</v>
      </c>
      <c r="G7" s="114">
        <f>SUM(D7:F7)</f>
        <v>0</v>
      </c>
      <c r="K7" s="108" t="s">
        <v>24</v>
      </c>
      <c r="L7" s="109"/>
      <c r="M7" s="113">
        <v>0</v>
      </c>
      <c r="N7" s="114">
        <f>ROUND($C$7*-N6,0)</f>
        <v>0</v>
      </c>
      <c r="O7" s="114">
        <f>ROUND($C$7*-O6,0)</f>
        <v>0</v>
      </c>
      <c r="P7" s="114">
        <f>ROUND($C$7*-P6,0)</f>
        <v>0</v>
      </c>
      <c r="Q7" s="114">
        <f>SUM(N7:P7)</f>
        <v>0</v>
      </c>
    </row>
    <row r="8" spans="1:19" ht="19.5" thickTop="1">
      <c r="A8" s="115" t="s">
        <v>23</v>
      </c>
      <c r="B8" s="109"/>
      <c r="C8" s="112"/>
      <c r="D8" s="116">
        <f>SUM(D6:D7)</f>
        <v>56040</v>
      </c>
      <c r="E8" s="116">
        <f>SUM(E6:E7)</f>
        <v>224158</v>
      </c>
      <c r="F8" s="116">
        <f>SUM(F6:F7)</f>
        <v>168119</v>
      </c>
      <c r="G8" s="116">
        <f>SUM(G6:G7)</f>
        <v>448317</v>
      </c>
      <c r="K8" s="115" t="s">
        <v>23</v>
      </c>
      <c r="L8" s="109"/>
      <c r="M8" s="112"/>
      <c r="N8" s="116">
        <f>SUM(N6:N7)</f>
        <v>52810</v>
      </c>
      <c r="O8" s="116">
        <f>SUM(O6:O7)</f>
        <v>225541</v>
      </c>
      <c r="P8" s="116">
        <f>SUM(P6:P7)</f>
        <v>168119</v>
      </c>
      <c r="Q8" s="116">
        <f>SUM(Q6:Q7)</f>
        <v>446470</v>
      </c>
      <c r="S8" s="135">
        <v>-28624</v>
      </c>
    </row>
    <row r="9" spans="1:19">
      <c r="A9" s="108"/>
      <c r="B9" s="109"/>
      <c r="C9" s="112"/>
      <c r="D9" s="109"/>
      <c r="E9" s="109"/>
      <c r="F9" s="109"/>
      <c r="G9" s="109"/>
      <c r="H9" s="880" t="s">
        <v>174</v>
      </c>
      <c r="K9" s="108"/>
      <c r="L9" s="109"/>
      <c r="M9" s="112"/>
      <c r="N9" s="109"/>
      <c r="O9" s="109"/>
      <c r="P9" s="109"/>
      <c r="Q9" s="109"/>
      <c r="R9" s="880" t="s">
        <v>174</v>
      </c>
    </row>
    <row r="10" spans="1:19">
      <c r="A10" s="884" t="s">
        <v>175</v>
      </c>
      <c r="B10" s="109"/>
      <c r="C10" s="112"/>
      <c r="D10" s="109"/>
      <c r="E10" s="109"/>
      <c r="F10" s="109"/>
      <c r="G10" s="109"/>
      <c r="H10" s="880"/>
      <c r="K10" s="884" t="s">
        <v>175</v>
      </c>
      <c r="L10" s="109"/>
      <c r="M10" s="112"/>
      <c r="N10" s="109"/>
      <c r="O10" s="109"/>
      <c r="P10" s="109"/>
      <c r="Q10" s="109"/>
      <c r="R10" s="880"/>
    </row>
    <row r="11" spans="1:19" ht="19.5" thickBot="1">
      <c r="A11" s="885"/>
      <c r="B11" s="109"/>
      <c r="C11" s="112"/>
      <c r="D11" s="109"/>
      <c r="E11" s="109"/>
      <c r="F11" s="109"/>
      <c r="G11" s="109"/>
      <c r="H11" s="881"/>
      <c r="K11" s="885"/>
      <c r="L11" s="109"/>
      <c r="M11" s="112"/>
      <c r="N11" s="109"/>
      <c r="O11" s="109"/>
      <c r="P11" s="109"/>
      <c r="Q11" s="109"/>
      <c r="R11" s="881"/>
    </row>
    <row r="12" spans="1:19" ht="19.5" thickTop="1">
      <c r="A12" s="291" t="s">
        <v>322</v>
      </c>
      <c r="B12" s="117">
        <v>56913.5</v>
      </c>
      <c r="C12" s="118">
        <v>0.25</v>
      </c>
      <c r="D12" s="117">
        <f>ROUND(B12*C12,0)</f>
        <v>14228</v>
      </c>
      <c r="E12" s="117"/>
      <c r="F12" s="117"/>
      <c r="G12" s="117">
        <f>SUM(D12:F12)</f>
        <v>14228</v>
      </c>
      <c r="H12" s="119">
        <f>SUM(G12*15%)</f>
        <v>2134.1999999999998</v>
      </c>
      <c r="K12" s="291" t="s">
        <v>322</v>
      </c>
      <c r="L12" s="117">
        <v>56913.5</v>
      </c>
      <c r="M12" s="118">
        <v>0.25</v>
      </c>
      <c r="N12" s="117">
        <f>ROUND(L12*M12,0)</f>
        <v>14228</v>
      </c>
      <c r="O12" s="117"/>
      <c r="P12" s="117"/>
      <c r="Q12" s="117">
        <f>SUM(N12:P12)</f>
        <v>14228</v>
      </c>
      <c r="R12" s="119">
        <f>SUM(Q12*15%)</f>
        <v>2134.1999999999998</v>
      </c>
    </row>
    <row r="13" spans="1:19">
      <c r="A13" s="291" t="s">
        <v>323</v>
      </c>
      <c r="B13" s="117">
        <v>56913.5</v>
      </c>
      <c r="C13" s="118">
        <v>1</v>
      </c>
      <c r="D13" s="117"/>
      <c r="E13" s="117">
        <f>ROUND(B13*C13,0)</f>
        <v>56914</v>
      </c>
      <c r="F13" s="117"/>
      <c r="G13" s="117">
        <f>SUM(D13:F13)</f>
        <v>56914</v>
      </c>
      <c r="H13" s="119">
        <f>SUM(G13*15%)</f>
        <v>8537.1</v>
      </c>
      <c r="K13" s="291" t="s">
        <v>323</v>
      </c>
      <c r="L13" s="117">
        <v>56913.5</v>
      </c>
      <c r="M13" s="118">
        <v>1</v>
      </c>
      <c r="N13" s="117"/>
      <c r="O13" s="117">
        <f>ROUND(L13*M13,0)</f>
        <v>56914</v>
      </c>
      <c r="P13" s="117"/>
      <c r="Q13" s="117">
        <f>SUM(N13:P13)</f>
        <v>56914</v>
      </c>
      <c r="R13" s="119">
        <f>SUM(Q13*15%)</f>
        <v>8537.1</v>
      </c>
    </row>
    <row r="14" spans="1:19">
      <c r="A14" s="291" t="s">
        <v>324</v>
      </c>
      <c r="B14" s="117">
        <v>56913.5</v>
      </c>
      <c r="C14" s="120">
        <v>0.75</v>
      </c>
      <c r="D14" s="117"/>
      <c r="E14" s="117"/>
      <c r="F14" s="117">
        <f>ROUND(B14*C14,0)</f>
        <v>42685</v>
      </c>
      <c r="G14" s="117">
        <f>SUM(D14:F14)</f>
        <v>42685</v>
      </c>
      <c r="H14" s="119">
        <f>SUM(G14*15%)</f>
        <v>6402.75</v>
      </c>
      <c r="K14" s="291" t="s">
        <v>324</v>
      </c>
      <c r="L14" s="117">
        <v>56913.5</v>
      </c>
      <c r="M14" s="120">
        <v>0.75</v>
      </c>
      <c r="N14" s="117"/>
      <c r="O14" s="117"/>
      <c r="P14" s="117">
        <f>ROUND(L14*M14,0)</f>
        <v>42685</v>
      </c>
      <c r="Q14" s="117">
        <f>SUM(N14:P14)</f>
        <v>42685</v>
      </c>
      <c r="R14" s="119">
        <f>SUM(Q14*15%)</f>
        <v>6402.75</v>
      </c>
    </row>
    <row r="15" spans="1:19">
      <c r="A15" s="121" t="s">
        <v>222</v>
      </c>
      <c r="B15" s="122"/>
      <c r="C15" s="123"/>
      <c r="D15" s="124">
        <f>SUM(D12:D14)</f>
        <v>14228</v>
      </c>
      <c r="E15" s="117">
        <f>SUM(E12:E14)</f>
        <v>56914</v>
      </c>
      <c r="F15" s="117">
        <f>SUM(F12:F14)</f>
        <v>42685</v>
      </c>
      <c r="G15" s="117">
        <f>SUM(G12:G14)</f>
        <v>113827</v>
      </c>
      <c r="H15" s="119"/>
      <c r="K15" s="121" t="s">
        <v>222</v>
      </c>
      <c r="L15" s="122"/>
      <c r="M15" s="123"/>
      <c r="N15" s="124">
        <f>SUM(N12:N14)</f>
        <v>14228</v>
      </c>
      <c r="O15" s="117">
        <f>SUM(O12:O14)</f>
        <v>56914</v>
      </c>
      <c r="P15" s="117">
        <f>SUM(P12:P14)</f>
        <v>42685</v>
      </c>
      <c r="Q15" s="117">
        <f>SUM(Q12:Q14)</f>
        <v>113827</v>
      </c>
      <c r="R15" s="119"/>
    </row>
    <row r="16" spans="1:19">
      <c r="A16" s="115" t="s">
        <v>173</v>
      </c>
      <c r="B16" s="125"/>
      <c r="C16" s="126"/>
      <c r="D16" s="124">
        <f>SUM(D8:D14)</f>
        <v>70268</v>
      </c>
      <c r="E16" s="117">
        <f>SUM(E8:E14)</f>
        <v>281072</v>
      </c>
      <c r="F16" s="117">
        <f>SUM(F8:F14)</f>
        <v>210804</v>
      </c>
      <c r="G16" s="117">
        <f>SUM(G8:G14)</f>
        <v>562144</v>
      </c>
      <c r="H16" s="119">
        <f>SUM(H12:H14)</f>
        <v>17074.05</v>
      </c>
      <c r="K16" s="115" t="s">
        <v>173</v>
      </c>
      <c r="L16" s="125"/>
      <c r="M16" s="126"/>
      <c r="N16" s="124">
        <f>SUM(N8:N14)</f>
        <v>67038</v>
      </c>
      <c r="O16" s="117">
        <f>SUM(O8:O14)</f>
        <v>282455</v>
      </c>
      <c r="P16" s="117">
        <f>SUM(P8:P14)</f>
        <v>210804</v>
      </c>
      <c r="Q16" s="117">
        <f>SUM(Q8:Q14)</f>
        <v>560297</v>
      </c>
      <c r="R16" s="119">
        <f>SUM(R12:R14)</f>
        <v>17074.05</v>
      </c>
    </row>
    <row r="17" spans="1:18">
      <c r="D17" s="127"/>
      <c r="E17" s="127"/>
      <c r="F17" s="127"/>
      <c r="G17" s="127"/>
      <c r="N17" s="127"/>
      <c r="O17" s="127"/>
      <c r="P17" s="127"/>
      <c r="Q17" s="127"/>
    </row>
    <row r="18" spans="1:18" s="19" customFormat="1" ht="19.5" thickBot="1">
      <c r="A18" s="128" t="s">
        <v>145</v>
      </c>
      <c r="B18" s="129"/>
      <c r="C18" s="129"/>
      <c r="D18" s="130"/>
      <c r="E18" s="130"/>
      <c r="F18" s="130"/>
      <c r="G18" s="131">
        <f>SUM(G16:G17)</f>
        <v>562144</v>
      </c>
      <c r="I18" s="19" t="s">
        <v>325</v>
      </c>
      <c r="K18" s="128" t="s">
        <v>145</v>
      </c>
      <c r="L18" s="129"/>
      <c r="M18" s="129"/>
      <c r="N18" s="130"/>
      <c r="O18" s="130"/>
      <c r="P18" s="130"/>
      <c r="Q18" s="131">
        <f>SUM(Q16:Q17)</f>
        <v>560297</v>
      </c>
    </row>
    <row r="19" spans="1:18" s="19" customFormat="1" ht="19.5" thickTop="1">
      <c r="A19" s="128"/>
      <c r="B19" s="129"/>
      <c r="C19" s="129"/>
      <c r="D19" s="130"/>
      <c r="E19" s="130"/>
      <c r="F19" s="130"/>
      <c r="G19" s="130">
        <v>30388</v>
      </c>
      <c r="K19" s="128"/>
      <c r="L19" s="129"/>
      <c r="M19" s="129"/>
      <c r="N19" s="130"/>
      <c r="O19" s="130"/>
      <c r="P19" s="130"/>
      <c r="Q19" s="130"/>
    </row>
    <row r="20" spans="1:18" ht="19.5" thickBot="1">
      <c r="A20" s="134"/>
      <c r="F20" s="444" t="s">
        <v>376</v>
      </c>
      <c r="G20" s="445">
        <f>G18+G19</f>
        <v>592532</v>
      </c>
      <c r="K20" s="134" t="s">
        <v>370</v>
      </c>
      <c r="Q20" s="104"/>
    </row>
    <row r="21" spans="1:18" ht="18.75" customHeight="1">
      <c r="A21" s="886" t="s">
        <v>44</v>
      </c>
      <c r="B21" s="888" t="s">
        <v>22</v>
      </c>
      <c r="C21" s="888" t="s">
        <v>26</v>
      </c>
      <c r="D21" s="888" t="s">
        <v>306</v>
      </c>
      <c r="E21" s="888" t="s">
        <v>374</v>
      </c>
      <c r="F21" s="888" t="s">
        <v>375</v>
      </c>
      <c r="G21" s="383" t="s">
        <v>380</v>
      </c>
      <c r="H21" s="135"/>
      <c r="K21" s="403" t="s">
        <v>44</v>
      </c>
      <c r="L21" s="404" t="s">
        <v>22</v>
      </c>
      <c r="M21" s="404" t="s">
        <v>26</v>
      </c>
      <c r="N21" s="404" t="s">
        <v>164</v>
      </c>
      <c r="O21" s="404" t="s">
        <v>305</v>
      </c>
      <c r="P21" s="404" t="s">
        <v>306</v>
      </c>
      <c r="Q21" s="404" t="s">
        <v>308</v>
      </c>
      <c r="R21" s="405"/>
    </row>
    <row r="22" spans="1:18" ht="19.5" thickBot="1">
      <c r="A22" s="887"/>
      <c r="B22" s="889"/>
      <c r="C22" s="889"/>
      <c r="D22" s="889"/>
      <c r="E22" s="889"/>
      <c r="F22" s="889"/>
      <c r="G22" s="384" t="s">
        <v>329</v>
      </c>
      <c r="K22" s="406" t="s">
        <v>147</v>
      </c>
      <c r="L22" s="407">
        <v>208041</v>
      </c>
      <c r="M22" s="408">
        <v>0.25</v>
      </c>
      <c r="N22" s="407">
        <f>ROUND(L22*M22,0)</f>
        <v>52010</v>
      </c>
      <c r="O22" s="407"/>
      <c r="P22" s="407"/>
      <c r="Q22" s="407">
        <f>SUM(N22:P22)</f>
        <v>52010</v>
      </c>
      <c r="R22" s="402"/>
    </row>
    <row r="23" spans="1:18" ht="19.5" thickBot="1">
      <c r="A23" s="385" t="s">
        <v>302</v>
      </c>
      <c r="B23" s="386" t="s">
        <v>330</v>
      </c>
      <c r="C23" s="387">
        <v>0.25</v>
      </c>
      <c r="D23" s="386" t="s">
        <v>331</v>
      </c>
      <c r="E23" s="386"/>
      <c r="F23" s="386"/>
      <c r="G23" s="386" t="s">
        <v>332</v>
      </c>
      <c r="K23" s="406" t="s">
        <v>301</v>
      </c>
      <c r="L23" s="407">
        <v>208041</v>
      </c>
      <c r="M23" s="409">
        <v>1</v>
      </c>
      <c r="N23" s="407"/>
      <c r="O23" s="407">
        <f>ROUND(L23*M23,0)</f>
        <v>208041</v>
      </c>
      <c r="P23" s="407"/>
      <c r="Q23" s="407">
        <f>SUM(N23:P23)</f>
        <v>208041</v>
      </c>
      <c r="R23" s="402"/>
    </row>
    <row r="24" spans="1:18" s="19" customFormat="1" ht="19.5" thickBot="1">
      <c r="A24" s="385" t="s">
        <v>319</v>
      </c>
      <c r="B24" s="386" t="s">
        <v>330</v>
      </c>
      <c r="C24" s="387">
        <v>1</v>
      </c>
      <c r="D24" s="386"/>
      <c r="E24" s="386" t="s">
        <v>333</v>
      </c>
      <c r="F24" s="386"/>
      <c r="G24" s="386" t="s">
        <v>334</v>
      </c>
      <c r="K24" s="406" t="s">
        <v>302</v>
      </c>
      <c r="L24" s="407">
        <v>208041</v>
      </c>
      <c r="M24" s="409">
        <v>0.75</v>
      </c>
      <c r="N24" s="407"/>
      <c r="O24" s="407"/>
      <c r="P24" s="407">
        <f>ROUND(L24*M24,0)</f>
        <v>156031</v>
      </c>
      <c r="Q24" s="407">
        <f>SUM(N24:P24)</f>
        <v>156031</v>
      </c>
      <c r="R24" s="402"/>
    </row>
    <row r="25" spans="1:18" ht="19.5" thickBot="1">
      <c r="A25" s="385" t="s">
        <v>320</v>
      </c>
      <c r="B25" s="386" t="s">
        <v>335</v>
      </c>
      <c r="C25" s="387">
        <v>0.75</v>
      </c>
      <c r="D25" s="386"/>
      <c r="E25" s="386"/>
      <c r="F25" s="386" t="s">
        <v>336</v>
      </c>
      <c r="G25" s="386" t="s">
        <v>337</v>
      </c>
      <c r="K25" s="406" t="s">
        <v>23</v>
      </c>
      <c r="L25" s="407"/>
      <c r="M25" s="410"/>
      <c r="N25" s="407">
        <f>SUM(N22:N24)</f>
        <v>52010</v>
      </c>
      <c r="O25" s="407">
        <f>SUM(O22:O24)</f>
        <v>208041</v>
      </c>
      <c r="P25" s="407">
        <f>SUM(P22:P24)</f>
        <v>156031</v>
      </c>
      <c r="Q25" s="407">
        <f>SUM(Q22:Q24)</f>
        <v>416082</v>
      </c>
      <c r="R25" s="402"/>
    </row>
    <row r="26" spans="1:18" s="19" customFormat="1" ht="19.5" thickBot="1">
      <c r="A26" s="385" t="s">
        <v>338</v>
      </c>
      <c r="B26" s="386"/>
      <c r="C26" s="388"/>
      <c r="D26" s="386" t="s">
        <v>331</v>
      </c>
      <c r="E26" s="386" t="s">
        <v>339</v>
      </c>
      <c r="F26" s="386" t="s">
        <v>340</v>
      </c>
      <c r="G26" s="386" t="s">
        <v>341</v>
      </c>
      <c r="K26" s="406" t="s">
        <v>24</v>
      </c>
      <c r="L26" s="407"/>
      <c r="M26" s="411">
        <v>0</v>
      </c>
      <c r="N26" s="412">
        <f>ROUND($C$7*-N25,0)</f>
        <v>0</v>
      </c>
      <c r="O26" s="412">
        <f>ROUND($C$7*-O25,0)</f>
        <v>0</v>
      </c>
      <c r="P26" s="412">
        <f>ROUND($C$7*-P25,0)</f>
        <v>0</v>
      </c>
      <c r="Q26" s="412">
        <f>SUM(N26:P26)</f>
        <v>0</v>
      </c>
      <c r="R26" s="402"/>
    </row>
    <row r="27" spans="1:18" ht="19.5" thickBot="1">
      <c r="A27" s="385" t="s">
        <v>342</v>
      </c>
      <c r="B27" s="386"/>
      <c r="C27" s="389">
        <v>0</v>
      </c>
      <c r="D27" s="390" t="s">
        <v>343</v>
      </c>
      <c r="E27" s="390" t="s">
        <v>344</v>
      </c>
      <c r="F27" s="390" t="s">
        <v>345</v>
      </c>
      <c r="G27" s="390" t="s">
        <v>346</v>
      </c>
      <c r="K27" s="413" t="s">
        <v>23</v>
      </c>
      <c r="L27" s="407"/>
      <c r="M27" s="410"/>
      <c r="N27" s="414">
        <f>SUM(N25:N26)</f>
        <v>52010</v>
      </c>
      <c r="O27" s="414">
        <f>SUM(O25:O26)</f>
        <v>208041</v>
      </c>
      <c r="P27" s="414">
        <f>SUM(P25:P26)</f>
        <v>156031</v>
      </c>
      <c r="Q27" s="414">
        <f>SUM(Q25:Q26)</f>
        <v>416082</v>
      </c>
      <c r="R27" s="402"/>
    </row>
    <row r="28" spans="1:18" ht="19.5" thickBot="1">
      <c r="A28" s="391" t="s">
        <v>338</v>
      </c>
      <c r="B28" s="386"/>
      <c r="C28" s="388"/>
      <c r="D28" s="386" t="s">
        <v>331</v>
      </c>
      <c r="E28" s="386" t="s">
        <v>339</v>
      </c>
      <c r="F28" s="386" t="s">
        <v>340</v>
      </c>
      <c r="G28" s="386" t="s">
        <v>341</v>
      </c>
      <c r="K28" s="406"/>
      <c r="L28" s="407"/>
      <c r="M28" s="410"/>
      <c r="N28" s="407"/>
      <c r="O28" s="407"/>
      <c r="P28" s="407"/>
      <c r="Q28" s="407"/>
      <c r="R28" s="880" t="s">
        <v>174</v>
      </c>
    </row>
    <row r="29" spans="1:18" ht="19.5" customHeight="1" thickBot="1">
      <c r="A29" s="385"/>
      <c r="B29" s="386"/>
      <c r="C29" s="388"/>
      <c r="D29" s="386"/>
      <c r="E29" s="386"/>
      <c r="F29" s="386"/>
      <c r="G29" s="386"/>
      <c r="K29" s="882" t="s">
        <v>175</v>
      </c>
      <c r="L29" s="407"/>
      <c r="M29" s="410"/>
      <c r="N29" s="407"/>
      <c r="O29" s="407"/>
      <c r="P29" s="407"/>
      <c r="Q29" s="407"/>
      <c r="R29" s="880"/>
    </row>
    <row r="30" spans="1:18" ht="19.5" customHeight="1" thickBot="1">
      <c r="A30" s="878" t="s">
        <v>175</v>
      </c>
      <c r="B30" s="386"/>
      <c r="C30" s="388"/>
      <c r="D30" s="386"/>
      <c r="E30" s="386"/>
      <c r="F30" s="386"/>
      <c r="G30" s="386"/>
      <c r="K30" s="883"/>
      <c r="L30" s="407"/>
      <c r="M30" s="410"/>
      <c r="N30" s="407"/>
      <c r="O30" s="407"/>
      <c r="P30" s="407"/>
      <c r="Q30" s="407"/>
      <c r="R30" s="881"/>
    </row>
    <row r="31" spans="1:18" ht="19.5" thickBot="1">
      <c r="A31" s="879"/>
      <c r="B31" s="386"/>
      <c r="C31" s="388"/>
      <c r="D31" s="386"/>
      <c r="E31" s="386"/>
      <c r="F31" s="386"/>
      <c r="G31" s="386"/>
      <c r="K31" s="415" t="s">
        <v>371</v>
      </c>
      <c r="L31" s="416">
        <v>56913.5</v>
      </c>
      <c r="M31" s="417">
        <v>0.25</v>
      </c>
      <c r="N31" s="416">
        <f>ROUND(L31*M31,0)</f>
        <v>14228</v>
      </c>
      <c r="O31" s="416"/>
      <c r="P31" s="416"/>
      <c r="Q31" s="416">
        <f>SUM(N31:P31)</f>
        <v>14228</v>
      </c>
      <c r="R31" s="418">
        <f>SUM(Q31*15%)</f>
        <v>2134.1999999999998</v>
      </c>
    </row>
    <row r="32" spans="1:18" ht="19.5" thickBot="1">
      <c r="A32" s="392" t="s">
        <v>322</v>
      </c>
      <c r="B32" s="386" t="s">
        <v>347</v>
      </c>
      <c r="C32" s="387">
        <v>0.25</v>
      </c>
      <c r="D32" s="386" t="s">
        <v>348</v>
      </c>
      <c r="E32" s="386"/>
      <c r="F32" s="386"/>
      <c r="G32" s="386" t="s">
        <v>349</v>
      </c>
      <c r="K32" s="415" t="s">
        <v>372</v>
      </c>
      <c r="L32" s="416">
        <v>56913.5</v>
      </c>
      <c r="M32" s="417">
        <v>1</v>
      </c>
      <c r="N32" s="416"/>
      <c r="O32" s="416">
        <f>ROUND(L32*M32,0)</f>
        <v>56914</v>
      </c>
      <c r="P32" s="416"/>
      <c r="Q32" s="416">
        <f>SUM(N32:P32)</f>
        <v>56914</v>
      </c>
      <c r="R32" s="418">
        <f>SUM(Q32*15%)</f>
        <v>8537.1</v>
      </c>
    </row>
    <row r="33" spans="1:18" ht="19.5" thickBot="1">
      <c r="A33" s="392" t="s">
        <v>323</v>
      </c>
      <c r="B33" s="386" t="s">
        <v>347</v>
      </c>
      <c r="C33" s="387">
        <v>1</v>
      </c>
      <c r="D33" s="386"/>
      <c r="E33" s="386" t="s">
        <v>350</v>
      </c>
      <c r="F33" s="386"/>
      <c r="G33" s="386" t="s">
        <v>351</v>
      </c>
      <c r="K33" s="415" t="s">
        <v>373</v>
      </c>
      <c r="L33" s="416">
        <v>56913.5</v>
      </c>
      <c r="M33" s="419">
        <v>0.75</v>
      </c>
      <c r="N33" s="416"/>
      <c r="O33" s="416"/>
      <c r="P33" s="416">
        <f>ROUND(L33*M33,0)</f>
        <v>42685</v>
      </c>
      <c r="Q33" s="416">
        <f>SUM(N33:P33)</f>
        <v>42685</v>
      </c>
      <c r="R33" s="418">
        <f>SUM(Q33*15%)</f>
        <v>6402.75</v>
      </c>
    </row>
    <row r="34" spans="1:18" ht="19.5" thickBot="1">
      <c r="A34" s="392" t="s">
        <v>352</v>
      </c>
      <c r="B34" s="386" t="s">
        <v>347</v>
      </c>
      <c r="C34" s="393">
        <v>0.75</v>
      </c>
      <c r="D34" s="386"/>
      <c r="E34" s="386"/>
      <c r="F34" s="386" t="s">
        <v>353</v>
      </c>
      <c r="G34" s="386" t="s">
        <v>354</v>
      </c>
      <c r="K34" s="420" t="s">
        <v>222</v>
      </c>
      <c r="L34" s="421"/>
      <c r="M34" s="422"/>
      <c r="N34" s="423">
        <f>SUM(N31:N33)</f>
        <v>14228</v>
      </c>
      <c r="O34" s="416">
        <f>SUM(O31:O33)</f>
        <v>56914</v>
      </c>
      <c r="P34" s="416">
        <f>SUM(P31:P33)</f>
        <v>42685</v>
      </c>
      <c r="Q34" s="416">
        <f>SUM(Q31:Q33)</f>
        <v>113827</v>
      </c>
      <c r="R34" s="418"/>
    </row>
    <row r="35" spans="1:18" ht="19.5" thickBot="1">
      <c r="A35" s="391" t="s">
        <v>355</v>
      </c>
      <c r="B35" s="394"/>
      <c r="C35" s="394"/>
      <c r="D35" s="386" t="s">
        <v>348</v>
      </c>
      <c r="E35" s="386" t="s">
        <v>356</v>
      </c>
      <c r="F35" s="386" t="s">
        <v>357</v>
      </c>
      <c r="G35" s="386" t="s">
        <v>358</v>
      </c>
      <c r="K35" s="413" t="s">
        <v>173</v>
      </c>
      <c r="L35" s="424"/>
      <c r="M35" s="425"/>
      <c r="N35" s="423">
        <f>SUM(N27:N33)</f>
        <v>66238</v>
      </c>
      <c r="O35" s="416">
        <f>SUM(O27:O33)</f>
        <v>264955</v>
      </c>
      <c r="P35" s="416">
        <f>SUM(P27:P33)</f>
        <v>198716</v>
      </c>
      <c r="Q35" s="416">
        <f>SUM(Q27:Q33)</f>
        <v>529909</v>
      </c>
      <c r="R35" s="418">
        <f>SUM(R31:R33)</f>
        <v>17074.05</v>
      </c>
    </row>
    <row r="36" spans="1:18" ht="19.5" thickBot="1">
      <c r="A36" s="391" t="s">
        <v>173</v>
      </c>
      <c r="B36" s="394"/>
      <c r="C36" s="394"/>
      <c r="D36" s="386" t="s">
        <v>359</v>
      </c>
      <c r="E36" s="386" t="s">
        <v>360</v>
      </c>
      <c r="F36" s="386" t="s">
        <v>361</v>
      </c>
      <c r="G36" s="386" t="s">
        <v>362</v>
      </c>
      <c r="K36" s="402"/>
      <c r="L36" s="426"/>
      <c r="M36" s="426"/>
      <c r="N36" s="427"/>
      <c r="O36" s="427"/>
      <c r="P36" s="427"/>
      <c r="Q36" s="427"/>
      <c r="R36" s="402"/>
    </row>
    <row r="37" spans="1:18" ht="19.5" thickBot="1">
      <c r="A37" s="395"/>
      <c r="B37" s="395"/>
      <c r="C37" s="395"/>
      <c r="D37" s="395"/>
      <c r="E37" s="395"/>
      <c r="F37" s="395"/>
      <c r="G37" s="395"/>
      <c r="K37" s="128" t="s">
        <v>145</v>
      </c>
      <c r="L37" s="129"/>
      <c r="M37" s="129"/>
      <c r="N37" s="130"/>
      <c r="O37" s="130"/>
      <c r="P37" s="130"/>
      <c r="Q37" s="131">
        <f>SUM(Q35:Q36)</f>
        <v>529909</v>
      </c>
      <c r="R37" s="19"/>
    </row>
    <row r="38" spans="1:18" ht="19.5" thickTop="1">
      <c r="A38" s="396" t="s">
        <v>363</v>
      </c>
      <c r="B38" s="397"/>
      <c r="C38" s="397"/>
      <c r="D38" s="397"/>
      <c r="E38" s="397"/>
      <c r="F38" s="397"/>
      <c r="G38" s="398" t="s">
        <v>364</v>
      </c>
    </row>
    <row r="39" spans="1:18" ht="19.5" thickBot="1">
      <c r="A39" s="395"/>
      <c r="B39" s="395"/>
      <c r="C39" s="395"/>
      <c r="D39" s="395"/>
      <c r="E39" s="395"/>
      <c r="F39" s="399" t="s">
        <v>365</v>
      </c>
      <c r="G39" s="400" t="s">
        <v>366</v>
      </c>
    </row>
    <row r="40" spans="1:18" ht="19.5" thickBot="1">
      <c r="A40" s="395"/>
      <c r="B40" s="395"/>
      <c r="C40" s="395"/>
      <c r="D40" s="395"/>
      <c r="E40" s="395"/>
      <c r="F40" s="399" t="s">
        <v>367</v>
      </c>
      <c r="G40" s="401" t="s">
        <v>368</v>
      </c>
    </row>
    <row r="41" spans="1:18" ht="19.5" thickTop="1">
      <c r="A41" s="139"/>
      <c r="B41" s="136"/>
      <c r="C41" s="136"/>
      <c r="D41" s="136"/>
      <c r="E41" s="136"/>
      <c r="F41" s="136"/>
      <c r="G41" s="104"/>
      <c r="K41" s="139"/>
      <c r="L41" s="136"/>
      <c r="M41" s="136"/>
      <c r="N41" s="136"/>
      <c r="O41" s="136"/>
      <c r="P41" s="136"/>
      <c r="Q41" s="104"/>
    </row>
    <row r="42" spans="1:18">
      <c r="A42" s="138"/>
      <c r="B42" s="127"/>
      <c r="C42" s="127"/>
      <c r="D42" s="127"/>
      <c r="E42" s="127"/>
      <c r="F42" s="127"/>
      <c r="G42" s="104"/>
      <c r="K42" s="138"/>
      <c r="L42" s="127"/>
      <c r="M42" s="127"/>
      <c r="N42" s="127"/>
      <c r="O42" s="127"/>
      <c r="P42" s="127"/>
      <c r="Q42" s="104"/>
    </row>
    <row r="43" spans="1:18">
      <c r="A43" s="138"/>
      <c r="B43" s="127"/>
      <c r="C43" s="127"/>
      <c r="D43" s="127"/>
      <c r="E43" s="127"/>
      <c r="F43" s="127"/>
      <c r="G43" s="104"/>
      <c r="K43" s="138"/>
      <c r="L43" s="127"/>
      <c r="M43" s="127"/>
      <c r="N43" s="127"/>
      <c r="O43" s="127"/>
      <c r="P43" s="127"/>
      <c r="Q43" s="104"/>
    </row>
    <row r="44" spans="1:18" s="19" customFormat="1">
      <c r="A44" s="137"/>
      <c r="B44" s="133"/>
      <c r="C44" s="133"/>
      <c r="D44" s="133"/>
      <c r="E44" s="133"/>
      <c r="F44" s="133"/>
      <c r="G44" s="132"/>
      <c r="K44" s="137"/>
      <c r="L44" s="133"/>
      <c r="M44" s="133"/>
      <c r="N44" s="133"/>
      <c r="O44" s="133"/>
      <c r="P44" s="133"/>
      <c r="Q44" s="132"/>
    </row>
    <row r="45" spans="1:18">
      <c r="A45" s="139"/>
      <c r="B45" s="136"/>
      <c r="C45" s="136"/>
      <c r="D45" s="136"/>
      <c r="E45" s="136"/>
      <c r="F45" s="136"/>
      <c r="K45" s="139"/>
      <c r="L45" s="136"/>
      <c r="M45" s="136"/>
      <c r="N45" s="136"/>
      <c r="O45" s="136"/>
      <c r="P45" s="136"/>
    </row>
  </sheetData>
  <sortState xmlns:xlrd2="http://schemas.microsoft.com/office/spreadsheetml/2017/richdata2" ref="A23:F39">
    <sortCondition ref="A23"/>
  </sortState>
  <mergeCells count="13">
    <mergeCell ref="A30:A31"/>
    <mergeCell ref="R28:R30"/>
    <mergeCell ref="K29:K30"/>
    <mergeCell ref="H9:H11"/>
    <mergeCell ref="A10:A11"/>
    <mergeCell ref="R9:R11"/>
    <mergeCell ref="K10:K11"/>
    <mergeCell ref="A21:A22"/>
    <mergeCell ref="B21:B22"/>
    <mergeCell ref="C21:C22"/>
    <mergeCell ref="D21:D22"/>
    <mergeCell ref="E21:E22"/>
    <mergeCell ref="F21:F22"/>
  </mergeCells>
  <pageMargins left="0.75" right="0.75" top="1.5" bottom="0.5" header="0.25" footer="0.5"/>
  <pageSetup scale="63" orientation="landscape" r:id="rId1"/>
  <headerFooter alignWithMargins="0">
    <oddHeader xml:space="preserve">&amp;C&amp;"Arial Black,Bold"&amp;14AAA 2019-2021 FUNDING ALLOCATION
Amendment 1
</oddHeader>
    <oddFooter>&amp;R&amp;"Century Gothic,Regular"Page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86CCC-CCCC-4519-96BA-453A52B20BD3}">
  <sheetPr>
    <tabColor rgb="FFFFC000"/>
  </sheetPr>
  <dimension ref="A1:I39"/>
  <sheetViews>
    <sheetView zoomScaleNormal="100" workbookViewId="0">
      <selection activeCell="B2" sqref="B2"/>
    </sheetView>
  </sheetViews>
  <sheetFormatPr defaultRowHeight="15.75"/>
  <cols>
    <col min="1" max="1" width="19.85546875" style="446" customWidth="1"/>
    <col min="2" max="2" width="93.28515625" style="446" bestFit="1" customWidth="1"/>
    <col min="3" max="3" width="16.5703125" style="446" customWidth="1"/>
    <col min="4" max="4" width="11" style="446" customWidth="1"/>
    <col min="5" max="9" width="14.7109375" style="446" customWidth="1"/>
    <col min="10" max="16384" width="9.140625" style="446"/>
  </cols>
  <sheetData>
    <row r="1" spans="1:9" ht="24" thickBot="1">
      <c r="A1" s="692" t="s">
        <v>44</v>
      </c>
      <c r="B1" s="684"/>
      <c r="C1" s="684"/>
      <c r="D1" s="684"/>
      <c r="E1" s="684"/>
      <c r="F1" s="684"/>
      <c r="G1" s="684"/>
      <c r="H1" s="685"/>
    </row>
    <row r="2" spans="1:9" ht="36">
      <c r="A2" s="673" t="s">
        <v>477</v>
      </c>
      <c r="B2" s="673" t="s">
        <v>478</v>
      </c>
      <c r="C2" s="673" t="s">
        <v>22</v>
      </c>
      <c r="D2" s="673" t="s">
        <v>26</v>
      </c>
      <c r="E2" s="673" t="s">
        <v>390</v>
      </c>
      <c r="F2" s="673" t="s">
        <v>443</v>
      </c>
      <c r="G2" s="673" t="s">
        <v>444</v>
      </c>
      <c r="H2" s="673" t="s">
        <v>445</v>
      </c>
      <c r="I2" s="448"/>
    </row>
    <row r="3" spans="1:9">
      <c r="A3" s="677" t="str" cm="1">
        <f t="array" ref="A3">_xlfn.XLOOKUP($A$1,Titles,_xlfn.XLOOKUP(LEFT(B3,4),GrantYears,FAIN),"x",-1)</f>
        <v>2301OROAEA</v>
      </c>
      <c r="B3" s="449" t="s">
        <v>393</v>
      </c>
      <c r="C3" s="450">
        <v>285535</v>
      </c>
      <c r="D3" s="473">
        <v>0.25</v>
      </c>
      <c r="E3" s="450">
        <f>ROUND(C3*D3,0)</f>
        <v>71384</v>
      </c>
      <c r="F3" s="450"/>
      <c r="G3" s="450"/>
      <c r="H3" s="450">
        <f>SUM(E3:G3)</f>
        <v>71384</v>
      </c>
    </row>
    <row r="4" spans="1:9">
      <c r="A4" s="678" t="str" cm="1">
        <f t="array" ref="A4">_xlfn.XLOOKUP($A$1,Titles,_xlfn.XLOOKUP(LEFT(B4,4),GrantYears,FAIN),"x",-1)</f>
        <v>2401OROAEA</v>
      </c>
      <c r="B4" s="449" t="s">
        <v>441</v>
      </c>
      <c r="C4" s="450">
        <v>285535</v>
      </c>
      <c r="D4" s="473">
        <v>1</v>
      </c>
      <c r="E4" s="450"/>
      <c r="F4" s="450">
        <f>ROUND(C4*D4,0)</f>
        <v>285535</v>
      </c>
      <c r="G4" s="450"/>
      <c r="H4" s="450">
        <f>SUM(E4:G4)</f>
        <v>285535</v>
      </c>
    </row>
    <row r="5" spans="1:9">
      <c r="A5" s="679" t="str" cm="1">
        <f t="array" ref="A5">_xlfn.XLOOKUP($A$1,Titles,_xlfn.XLOOKUP(LEFT(B5,4),GrantYears,FAIN),"x",-1)</f>
        <v>2501OROAEA</v>
      </c>
      <c r="B5" s="449" t="s">
        <v>442</v>
      </c>
      <c r="C5" s="450">
        <v>285535</v>
      </c>
      <c r="D5" s="473">
        <v>0.75</v>
      </c>
      <c r="E5" s="450"/>
      <c r="F5" s="450"/>
      <c r="G5" s="450">
        <f>ROUND(C5*D5,0)</f>
        <v>214151</v>
      </c>
      <c r="H5" s="450">
        <f>SUM(E5:G5)</f>
        <v>214151</v>
      </c>
      <c r="I5" s="477">
        <f>SUM(H3:H5)</f>
        <v>571070</v>
      </c>
    </row>
    <row r="6" spans="1:9">
      <c r="A6"/>
      <c r="B6" s="499" t="s">
        <v>454</v>
      </c>
      <c r="C6" s="498"/>
      <c r="D6" s="473">
        <v>1</v>
      </c>
      <c r="E6" s="471"/>
      <c r="F6" s="471">
        <v>64550.76</v>
      </c>
      <c r="G6" s="471"/>
      <c r="H6" s="450">
        <f>SUM(E6:G6)</f>
        <v>64550.76</v>
      </c>
    </row>
    <row r="7" spans="1:9">
      <c r="A7"/>
      <c r="B7" s="499" t="s">
        <v>432</v>
      </c>
      <c r="C7" s="511"/>
      <c r="D7" s="473">
        <v>1</v>
      </c>
      <c r="E7" s="512"/>
      <c r="F7" s="512">
        <v>240523</v>
      </c>
      <c r="G7" s="512"/>
      <c r="H7" s="471">
        <f>SUM(F7)</f>
        <v>240523</v>
      </c>
    </row>
    <row r="8" spans="1:9">
      <c r="A8"/>
      <c r="B8" s="449" t="s">
        <v>23</v>
      </c>
      <c r="C8" s="450"/>
      <c r="D8" s="471"/>
      <c r="E8" s="450">
        <f>SUM(E3:E7)</f>
        <v>71384</v>
      </c>
      <c r="F8" s="450">
        <f>SUM(F3:F7)</f>
        <v>590608.76</v>
      </c>
      <c r="G8" s="450">
        <f>SUM(G3:G7)</f>
        <v>214151</v>
      </c>
      <c r="H8" s="450">
        <f>SUM(H3:H7)</f>
        <v>876143.76</v>
      </c>
    </row>
    <row r="9" spans="1:9" ht="16.5" thickBot="1">
      <c r="A9"/>
      <c r="B9" s="449" t="s">
        <v>24</v>
      </c>
      <c r="C9" s="450"/>
      <c r="D9" s="474">
        <v>0</v>
      </c>
      <c r="E9" s="451">
        <f>ROUND($D$9*-E8,0)</f>
        <v>0</v>
      </c>
      <c r="F9" s="451">
        <f>ROUND($D$9*-F8,0)</f>
        <v>0</v>
      </c>
      <c r="G9" s="451">
        <f>ROUND($D$9*-G8,0)</f>
        <v>0</v>
      </c>
      <c r="H9" s="451">
        <f>SUM(E9:G9)</f>
        <v>0</v>
      </c>
    </row>
    <row r="10" spans="1:9" ht="16.5" thickTop="1">
      <c r="A10"/>
      <c r="B10" s="452" t="s">
        <v>23</v>
      </c>
      <c r="C10" s="450"/>
      <c r="D10" s="471"/>
      <c r="E10" s="453">
        <f>SUM(E8:E9)</f>
        <v>71384</v>
      </c>
      <c r="F10" s="453">
        <f>SUM(F8:F9)</f>
        <v>590608.76</v>
      </c>
      <c r="G10" s="453">
        <f>SUM(G8:G9)</f>
        <v>214151</v>
      </c>
      <c r="H10" s="453">
        <f>SUM(H8:H9)</f>
        <v>876143.76</v>
      </c>
      <c r="I10" s="477">
        <f>SUM(E10:G10)</f>
        <v>876143.76</v>
      </c>
    </row>
    <row r="11" spans="1:9">
      <c r="A11"/>
      <c r="B11" s="449"/>
      <c r="C11" s="450"/>
      <c r="D11" s="471"/>
      <c r="E11" s="450"/>
      <c r="F11" s="450"/>
      <c r="G11" s="450"/>
      <c r="H11" s="450"/>
      <c r="I11" s="890" t="s">
        <v>174</v>
      </c>
    </row>
    <row r="12" spans="1:9">
      <c r="A12"/>
      <c r="B12" s="892" t="s">
        <v>433</v>
      </c>
      <c r="C12" s="450"/>
      <c r="D12" s="471"/>
      <c r="E12" s="450"/>
      <c r="F12" s="450"/>
      <c r="G12" s="450"/>
      <c r="H12" s="450"/>
      <c r="I12" s="890"/>
    </row>
    <row r="13" spans="1:9" ht="16.5" thickBot="1">
      <c r="A13"/>
      <c r="B13" s="893"/>
      <c r="C13" s="450"/>
      <c r="D13" s="471"/>
      <c r="E13" s="450"/>
      <c r="F13" s="450"/>
      <c r="G13" s="450"/>
      <c r="H13" s="450"/>
      <c r="I13" s="891"/>
    </row>
    <row r="14" spans="1:9" ht="16.5" thickTop="1">
      <c r="A14"/>
      <c r="B14" s="454" t="s">
        <v>455</v>
      </c>
      <c r="C14" s="455">
        <v>56913.5</v>
      </c>
      <c r="D14" s="475">
        <v>0.25</v>
      </c>
      <c r="E14" s="455">
        <f>ROUND(C14*D14,0)</f>
        <v>14228</v>
      </c>
      <c r="F14" s="455"/>
      <c r="G14" s="455"/>
      <c r="H14" s="455">
        <f>SUM(E14:G14)</f>
        <v>14228</v>
      </c>
      <c r="I14" s="456">
        <f>SUM(H14*15%)</f>
        <v>2134.1999999999998</v>
      </c>
    </row>
    <row r="15" spans="1:9">
      <c r="A15"/>
      <c r="B15" s="454" t="s">
        <v>456</v>
      </c>
      <c r="C15" s="455">
        <v>56913.5</v>
      </c>
      <c r="D15" s="475">
        <v>1</v>
      </c>
      <c r="E15" s="455"/>
      <c r="F15" s="455">
        <f>ROUND(C15*D15,0)</f>
        <v>56914</v>
      </c>
      <c r="G15" s="455"/>
      <c r="H15" s="455">
        <f>SUM(E15:G15)</f>
        <v>56914</v>
      </c>
      <c r="I15" s="456">
        <f>SUM(H15*15%)</f>
        <v>8537.1</v>
      </c>
    </row>
    <row r="16" spans="1:9">
      <c r="A16"/>
      <c r="B16" s="454" t="s">
        <v>457</v>
      </c>
      <c r="C16" s="455">
        <v>56913.5</v>
      </c>
      <c r="D16" s="475">
        <v>0.75</v>
      </c>
      <c r="E16" s="455"/>
      <c r="F16" s="455"/>
      <c r="G16" s="455">
        <f>ROUND(C16*D16,0)</f>
        <v>42685</v>
      </c>
      <c r="H16" s="455">
        <f>SUM(E16:G16)</f>
        <v>42685</v>
      </c>
      <c r="I16" s="456">
        <f>SUM(H16*15%)</f>
        <v>6402.75</v>
      </c>
    </row>
    <row r="17" spans="1:9">
      <c r="A17"/>
      <c r="B17" s="457" t="s">
        <v>378</v>
      </c>
      <c r="C17" s="458"/>
      <c r="D17" s="459"/>
      <c r="E17" s="460">
        <f>SUM(E14:E16)</f>
        <v>14228</v>
      </c>
      <c r="F17" s="455">
        <f>SUM(F14:F16)</f>
        <v>56914</v>
      </c>
      <c r="G17" s="455">
        <f>SUM(G14:G16)</f>
        <v>42685</v>
      </c>
      <c r="H17" s="455">
        <f>SUM(H14:H16)</f>
        <v>113827</v>
      </c>
      <c r="I17" s="456"/>
    </row>
    <row r="18" spans="1:9">
      <c r="A18"/>
      <c r="B18" s="452" t="s">
        <v>173</v>
      </c>
      <c r="C18" s="461"/>
      <c r="D18" s="462"/>
      <c r="E18" s="460">
        <f>SUM(E10:E16)</f>
        <v>85612</v>
      </c>
      <c r="F18" s="455">
        <f>SUM(F10:F16)</f>
        <v>647522.76</v>
      </c>
      <c r="G18" s="455">
        <f>SUM(G10:G16)</f>
        <v>256836</v>
      </c>
      <c r="H18" s="455">
        <f>SUM(H10:H16)</f>
        <v>989970.76</v>
      </c>
      <c r="I18" s="456">
        <f>SUM(I14:I16)</f>
        <v>17074.05</v>
      </c>
    </row>
    <row r="19" spans="1:9">
      <c r="A19"/>
      <c r="C19" s="447"/>
      <c r="D19" s="447"/>
      <c r="E19" s="463"/>
      <c r="F19" s="463"/>
      <c r="G19" s="463"/>
      <c r="H19" s="463"/>
    </row>
    <row r="20" spans="1:9" ht="16.5" thickBot="1">
      <c r="A20"/>
      <c r="B20" s="464" t="s">
        <v>379</v>
      </c>
      <c r="C20" s="465"/>
      <c r="D20" s="465"/>
      <c r="E20" s="466"/>
      <c r="F20" s="466"/>
      <c r="G20" s="466"/>
      <c r="H20" s="467">
        <f>SUM(H18:H19)</f>
        <v>989970.76</v>
      </c>
      <c r="I20" s="468"/>
    </row>
    <row r="21" spans="1:9" ht="16.5" thickTop="1">
      <c r="A21"/>
      <c r="B21" s="472"/>
      <c r="C21" s="495"/>
      <c r="D21" s="495"/>
      <c r="E21" s="496"/>
      <c r="F21" s="496"/>
      <c r="G21" s="496"/>
      <c r="H21" s="496"/>
      <c r="I21" s="468"/>
    </row>
    <row r="22" spans="1:9">
      <c r="A22"/>
      <c r="B22" s="497" t="s">
        <v>412</v>
      </c>
      <c r="C22" s="447"/>
      <c r="D22" s="447"/>
      <c r="E22" s="447"/>
      <c r="F22" s="447"/>
      <c r="G22" s="469" t="s">
        <v>434</v>
      </c>
      <c r="H22" s="470">
        <f>H20+H21</f>
        <v>989970.76</v>
      </c>
    </row>
    <row r="23" spans="1:9">
      <c r="A23"/>
      <c r="B23" s="476" t="s">
        <v>411</v>
      </c>
      <c r="C23" s="478"/>
      <c r="H23" s="513">
        <v>-36905.25</v>
      </c>
      <c r="I23" s="515">
        <f>H22+H23</f>
        <v>953065.51</v>
      </c>
    </row>
    <row r="24" spans="1:9">
      <c r="A24"/>
      <c r="B24" s="476" t="s">
        <v>413</v>
      </c>
      <c r="C24" s="478"/>
      <c r="H24" s="514">
        <f>SUM(H22:H23)</f>
        <v>953065.51</v>
      </c>
    </row>
    <row r="25" spans="1:9">
      <c r="A25"/>
    </row>
    <row r="26" spans="1:9">
      <c r="A26"/>
    </row>
    <row r="27" spans="1:9">
      <c r="A27"/>
    </row>
    <row r="28" spans="1:9">
      <c r="A28"/>
    </row>
    <row r="29" spans="1:9">
      <c r="A29"/>
    </row>
    <row r="30" spans="1:9">
      <c r="A30"/>
    </row>
    <row r="31" spans="1:9">
      <c r="A31"/>
    </row>
    <row r="32" spans="1:9">
      <c r="A32"/>
    </row>
    <row r="33" spans="1:1">
      <c r="A33"/>
    </row>
    <row r="34" spans="1:1">
      <c r="A34"/>
    </row>
    <row r="35" spans="1:1">
      <c r="A35"/>
    </row>
    <row r="36" spans="1:1">
      <c r="A36"/>
    </row>
    <row r="37" spans="1:1">
      <c r="A37"/>
    </row>
    <row r="38" spans="1:1">
      <c r="A38"/>
    </row>
    <row r="39" spans="1:1">
      <c r="A39"/>
    </row>
  </sheetData>
  <sheetProtection algorithmName="SHA-512" hashValue="1jDfNCsQ77sbQwgz+c8fnar00tAF6/PPwVxHSmrf4TmeFCd2gMNL/GnBQ+QSGO2inP17EENqGGyO8Z9JYh086g==" saltValue="bJgGl0sixMVXeLHNQVGCLA==" spinCount="100000" sheet="1" objects="1" scenarios="1"/>
  <mergeCells count="2">
    <mergeCell ref="I11:I13"/>
    <mergeCell ref="B12:B13"/>
  </mergeCells>
  <pageMargins left="0.75" right="0.75" top="1" bottom="0.5" header="0.25" footer="0.3"/>
  <pageSetup paperSize="9" orientation="landscape" horizontalDpi="1200" verticalDpi="1200" r:id="rId1"/>
  <headerFooter>
    <oddHeader>&amp;L&amp;G&amp;C&amp;"-,Bold"&amp;16 2023-2025 planning allocation
to Area Agencies on Aging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FFFF00"/>
  </sheetPr>
  <dimension ref="A1:I37"/>
  <sheetViews>
    <sheetView zoomScaleNormal="100" workbookViewId="0">
      <selection activeCell="B36" sqref="B36:H36"/>
    </sheetView>
  </sheetViews>
  <sheetFormatPr defaultRowHeight="15"/>
  <cols>
    <col min="1" max="1" width="22.140625" customWidth="1" collapsed="1"/>
    <col min="2" max="2" width="39" customWidth="1" collapsed="1"/>
    <col min="3" max="7" width="13.28515625" style="9" customWidth="1" collapsed="1"/>
    <col min="8" max="8" width="14" customWidth="1" collapsed="1"/>
    <col min="9" max="9" width="10.5703125" bestFit="1" customWidth="1" collapsed="1"/>
  </cols>
  <sheetData>
    <row r="1" spans="1:9" s="305" customFormat="1" ht="24" thickBot="1">
      <c r="A1" s="692" t="s">
        <v>494</v>
      </c>
      <c r="B1" s="684"/>
      <c r="C1" s="684"/>
      <c r="D1" s="684"/>
      <c r="E1" s="684"/>
      <c r="F1" s="684"/>
      <c r="G1" s="684"/>
      <c r="H1" s="685"/>
    </row>
    <row r="2" spans="1:9" s="64" customFormat="1" ht="36">
      <c r="A2" s="673" t="s">
        <v>477</v>
      </c>
      <c r="B2" s="673" t="s">
        <v>478</v>
      </c>
      <c r="C2" s="673" t="s">
        <v>22</v>
      </c>
      <c r="D2" s="673" t="s">
        <v>26</v>
      </c>
      <c r="E2" s="673" t="s">
        <v>390</v>
      </c>
      <c r="F2" s="673" t="s">
        <v>443</v>
      </c>
      <c r="G2" s="673" t="s">
        <v>444</v>
      </c>
      <c r="H2" s="673" t="s">
        <v>445</v>
      </c>
    </row>
    <row r="3" spans="1:9" ht="15.75">
      <c r="A3" s="677" t="str" cm="1">
        <f t="array" ref="A3">_xlfn.XLOOKUP($A$1,Titles,_xlfn.XLOOKUP(LEFT(B3,4),GrantYears,FAIN),"x",-1)</f>
        <v>2301OROAEA</v>
      </c>
      <c r="B3" s="48" t="s">
        <v>393</v>
      </c>
      <c r="C3" s="9">
        <f>'4. Award History&amp;Projections '!G16</f>
        <v>56600</v>
      </c>
      <c r="D3" s="6">
        <v>0.25</v>
      </c>
      <c r="E3" s="9">
        <f>ROUND(C3*D3,0)</f>
        <v>14150</v>
      </c>
      <c r="H3" s="9">
        <f>SUM(E3:G3)</f>
        <v>14150</v>
      </c>
    </row>
    <row r="4" spans="1:9" ht="15.75">
      <c r="A4" s="678" t="str" cm="1">
        <f t="array" ref="A4">_xlfn.XLOOKUP($A$1,Titles,_xlfn.XLOOKUP(LEFT(B4,4),GrantYears,FAIN),"x",-1)</f>
        <v>2401OROAEA</v>
      </c>
      <c r="B4" s="48" t="s">
        <v>441</v>
      </c>
      <c r="C4" s="18">
        <f>'4. Award History&amp;Projections '!G17</f>
        <v>56600</v>
      </c>
      <c r="D4" s="6">
        <v>1</v>
      </c>
      <c r="F4" s="9">
        <f>ROUND(C4*D4,0)</f>
        <v>56600</v>
      </c>
      <c r="H4" s="9">
        <f>SUM(E4:G4)</f>
        <v>56600</v>
      </c>
    </row>
    <row r="5" spans="1:9" ht="15.75">
      <c r="A5" s="679" t="str" cm="1">
        <f t="array" ref="A5">_xlfn.XLOOKUP($A$1,Titles,_xlfn.XLOOKUP(LEFT(B5,4),GrantYears,FAIN),"x",-1)</f>
        <v>2501OROAEA</v>
      </c>
      <c r="B5" s="48" t="s">
        <v>442</v>
      </c>
      <c r="C5" s="18">
        <f>'4. Award History&amp;Projections '!G18</f>
        <v>56600</v>
      </c>
      <c r="D5" s="6">
        <v>0.75</v>
      </c>
      <c r="E5" s="8"/>
      <c r="F5" s="8"/>
      <c r="G5" s="8">
        <f>ROUND(C5*D5,0)</f>
        <v>42450</v>
      </c>
      <c r="H5" s="8">
        <f>SUM(E5:G5)</f>
        <v>42450</v>
      </c>
    </row>
    <row r="6" spans="1:9">
      <c r="A6" s="190"/>
      <c r="B6" s="48" t="s">
        <v>23</v>
      </c>
      <c r="E6" s="9">
        <f>SUM(E3:E5)</f>
        <v>14150</v>
      </c>
      <c r="F6" s="9">
        <f>SUM(F3:F5)</f>
        <v>56600</v>
      </c>
      <c r="G6" s="9">
        <f>SUM(G3:G5)</f>
        <v>42450</v>
      </c>
      <c r="H6" s="9">
        <f>SUM(H3:H5)</f>
        <v>113200</v>
      </c>
    </row>
    <row r="7" spans="1:9">
      <c r="A7" s="190"/>
      <c r="B7" s="48" t="s">
        <v>24</v>
      </c>
      <c r="D7" s="5">
        <v>0</v>
      </c>
      <c r="E7" s="8">
        <f>ROUND($D$7*-E6,0)</f>
        <v>0</v>
      </c>
      <c r="F7" s="8">
        <f>ROUND($D$7*-F6,0)</f>
        <v>0</v>
      </c>
      <c r="G7" s="8">
        <f>ROUND($D$7*-G6,0)</f>
        <v>0</v>
      </c>
      <c r="H7" s="8">
        <f>SUM(E7:G7)</f>
        <v>0</v>
      </c>
    </row>
    <row r="8" spans="1:9">
      <c r="A8" s="190"/>
      <c r="B8" s="48" t="s">
        <v>23</v>
      </c>
      <c r="E8" s="9">
        <f>SUM(E6:E7)</f>
        <v>14150</v>
      </c>
      <c r="F8" s="9">
        <f>SUM(F6:F7)</f>
        <v>56600</v>
      </c>
      <c r="G8" s="9">
        <f>SUM(G6:G7)</f>
        <v>42450</v>
      </c>
      <c r="H8" s="9">
        <f>SUM(H6:H7)</f>
        <v>113200</v>
      </c>
    </row>
    <row r="9" spans="1:9" s="15" customFormat="1">
      <c r="A9" s="49"/>
      <c r="B9" s="49" t="s">
        <v>35</v>
      </c>
      <c r="C9" s="9"/>
      <c r="D9" s="9"/>
      <c r="E9" s="17"/>
      <c r="F9" s="17"/>
      <c r="G9" s="17"/>
      <c r="H9" s="17">
        <v>-11958</v>
      </c>
    </row>
    <row r="10" spans="1:9" s="1" customFormat="1" ht="15.75" thickBot="1">
      <c r="A10" s="46"/>
      <c r="B10" s="46" t="s">
        <v>29</v>
      </c>
      <c r="C10" s="10"/>
      <c r="D10" s="10"/>
      <c r="E10" s="14"/>
      <c r="F10" s="14"/>
      <c r="G10" s="14"/>
      <c r="H10" s="11">
        <f>SUM(H8:H9)</f>
        <v>101242</v>
      </c>
    </row>
    <row r="11" spans="1:9" s="686" customFormat="1" ht="15.75" thickTop="1">
      <c r="A11" s="80"/>
      <c r="B11" s="80"/>
      <c r="C11" s="81"/>
      <c r="D11" s="81"/>
      <c r="E11" s="82"/>
      <c r="F11" s="82"/>
      <c r="G11" s="82"/>
      <c r="H11" s="82"/>
    </row>
    <row r="12" spans="1:9">
      <c r="A12" s="63"/>
      <c r="B12" s="63" t="s">
        <v>144</v>
      </c>
      <c r="H12" s="9"/>
    </row>
    <row r="13" spans="1:9">
      <c r="A13" s="190"/>
      <c r="B13" s="48" t="s">
        <v>78</v>
      </c>
      <c r="C13" s="9">
        <f>'4. Award History&amp;Projections '!G19</f>
        <v>1000</v>
      </c>
      <c r="D13" s="9">
        <v>16</v>
      </c>
      <c r="H13" s="9">
        <f>C13*D13</f>
        <v>16000</v>
      </c>
      <c r="I13" s="12"/>
    </row>
    <row r="14" spans="1:9">
      <c r="A14" s="190"/>
      <c r="B14" s="48" t="s">
        <v>28</v>
      </c>
      <c r="D14" s="5">
        <v>0.05</v>
      </c>
      <c r="H14" s="9">
        <f>ROUND((H10-H13)*D14,0)</f>
        <v>4262</v>
      </c>
    </row>
    <row r="15" spans="1:9">
      <c r="A15" s="190"/>
      <c r="B15" s="48" t="s">
        <v>37</v>
      </c>
      <c r="D15" s="5">
        <v>0.95</v>
      </c>
      <c r="H15" s="9">
        <f>H10-H13-H14</f>
        <v>80980</v>
      </c>
    </row>
    <row r="16" spans="1:9" s="1" customFormat="1" ht="15.75" thickBot="1">
      <c r="A16" s="46"/>
      <c r="B16" s="46" t="s">
        <v>29</v>
      </c>
      <c r="C16" s="10"/>
      <c r="D16" s="10"/>
      <c r="E16" s="10"/>
      <c r="F16" s="10"/>
      <c r="G16" s="10"/>
      <c r="H16" s="11">
        <f>SUM(H13:H15)</f>
        <v>101242</v>
      </c>
    </row>
    <row r="17" spans="1:8" s="169" customFormat="1" ht="6.75" customHeight="1" thickTop="1">
      <c r="A17" s="77"/>
      <c r="B17" s="77"/>
      <c r="C17" s="78"/>
      <c r="D17" s="78"/>
      <c r="E17" s="78"/>
      <c r="F17" s="78"/>
      <c r="G17" s="78"/>
      <c r="H17" s="77"/>
    </row>
    <row r="18" spans="1:8" s="64" customFormat="1" ht="144">
      <c r="A18"/>
      <c r="B18" s="154" t="s">
        <v>58</v>
      </c>
      <c r="C18" s="84" t="s">
        <v>191</v>
      </c>
      <c r="D18" s="84" t="s">
        <v>202</v>
      </c>
      <c r="E18" s="84" t="s">
        <v>203</v>
      </c>
      <c r="F18" s="84" t="s">
        <v>234</v>
      </c>
      <c r="G18" s="85" t="s">
        <v>211</v>
      </c>
      <c r="H18" s="86"/>
    </row>
    <row r="19" spans="1:8">
      <c r="B19" s="103" t="s">
        <v>72</v>
      </c>
      <c r="C19" s="68">
        <f>$C$13</f>
        <v>1000</v>
      </c>
      <c r="D19" s="68">
        <f>SUM(('3. Population-NSIP#'!C3*$H$14),0)</f>
        <v>528.10267611437052</v>
      </c>
      <c r="E19" s="68">
        <f>SUM(('3. Population-NSIP#'!E3*$H$15),0)</f>
        <v>2836.2843496463834</v>
      </c>
      <c r="F19" s="382">
        <f>ROUND(C19+D19+E19,0)</f>
        <v>4364</v>
      </c>
      <c r="G19" s="93">
        <f t="shared" ref="G19:G34" si="0">F19/$F$35</f>
        <v>4.3104640366646255E-2</v>
      </c>
      <c r="H19" s="9"/>
    </row>
    <row r="20" spans="1:8">
      <c r="B20" s="103" t="s">
        <v>61</v>
      </c>
      <c r="C20" s="68">
        <f t="shared" ref="C20:C34" si="1">$C$13</f>
        <v>1000</v>
      </c>
      <c r="D20" s="68">
        <f>SUM(('3. Population-NSIP#'!C4*$H$14),0)</f>
        <v>29.187678257866473</v>
      </c>
      <c r="E20" s="68">
        <f>SUM(('3. Population-NSIP#'!E4*$H$15),0)</f>
        <v>1061.0765056334465</v>
      </c>
      <c r="F20" s="382">
        <f t="shared" ref="F20:F34" si="2">ROUND(C20+D20+E20,0)</f>
        <v>2090</v>
      </c>
      <c r="G20" s="93">
        <f t="shared" si="0"/>
        <v>2.0643606408407577E-2</v>
      </c>
      <c r="H20" s="9"/>
    </row>
    <row r="21" spans="1:8">
      <c r="B21" s="103" t="s">
        <v>73</v>
      </c>
      <c r="C21" s="68">
        <f t="shared" si="1"/>
        <v>1000</v>
      </c>
      <c r="D21" s="68">
        <f>SUM(('3. Population-NSIP#'!C5*$H$14),0)</f>
        <v>567.43606521853508</v>
      </c>
      <c r="E21" s="68">
        <f>SUM(('3. Population-NSIP#'!E5*$H$15),0)</f>
        <v>1536.1868213681564</v>
      </c>
      <c r="F21" s="382">
        <f t="shared" si="2"/>
        <v>3104</v>
      </c>
      <c r="G21" s="93">
        <f t="shared" si="0"/>
        <v>3.0659212579759388E-2</v>
      </c>
      <c r="H21" s="9"/>
    </row>
    <row r="22" spans="1:8">
      <c r="B22" s="103" t="s">
        <v>60</v>
      </c>
      <c r="C22" s="68">
        <f t="shared" si="1"/>
        <v>1000</v>
      </c>
      <c r="D22" s="68">
        <f>SUM(('3. Population-NSIP#'!C6*$H$14),0)</f>
        <v>83.044752341567516</v>
      </c>
      <c r="E22" s="68">
        <f>SUM(('3. Population-NSIP#'!E6*$H$15),0)</f>
        <v>8488.4691230161661</v>
      </c>
      <c r="F22" s="382">
        <f t="shared" si="2"/>
        <v>9572</v>
      </c>
      <c r="G22" s="93">
        <f t="shared" si="0"/>
        <v>9.4545741885778634E-2</v>
      </c>
      <c r="H22" s="9"/>
    </row>
    <row r="23" spans="1:8">
      <c r="B23" s="103" t="s">
        <v>541</v>
      </c>
      <c r="C23" s="68">
        <f t="shared" si="1"/>
        <v>1000</v>
      </c>
      <c r="D23" s="68">
        <f>SUM(('3. Population-NSIP#'!C7*$H$14),0)</f>
        <v>345.3568891127594</v>
      </c>
      <c r="E23" s="68">
        <f>SUM(('3. Population-NSIP#'!E7*$H$15),0)</f>
        <v>4943.454693961562</v>
      </c>
      <c r="F23" s="382">
        <f t="shared" si="2"/>
        <v>6289</v>
      </c>
      <c r="G23" s="93">
        <f t="shared" si="0"/>
        <v>6.2118488374390074E-2</v>
      </c>
      <c r="H23" s="9"/>
    </row>
    <row r="24" spans="1:8">
      <c r="B24" s="103" t="s">
        <v>169</v>
      </c>
      <c r="C24" s="68">
        <f t="shared" si="1"/>
        <v>1000</v>
      </c>
      <c r="D24" s="68">
        <f>SUM(('3. Population-NSIP#'!C8*$H$14),0)</f>
        <v>223.60880297078646</v>
      </c>
      <c r="E24" s="68">
        <f>SUM(('3. Population-NSIP#'!E8*$H$15),0)</f>
        <v>3097.7848536046968</v>
      </c>
      <c r="F24" s="382">
        <f t="shared" si="2"/>
        <v>4321</v>
      </c>
      <c r="G24" s="93">
        <f t="shared" si="0"/>
        <v>4.2679915450109636E-2</v>
      </c>
      <c r="H24" s="9"/>
    </row>
    <row r="25" spans="1:8">
      <c r="B25" s="103" t="s">
        <v>74</v>
      </c>
      <c r="C25" s="68">
        <f t="shared" si="1"/>
        <v>1000</v>
      </c>
      <c r="D25" s="68">
        <f>SUM(('3. Population-NSIP#'!C9*$H$14),0)</f>
        <v>449.92653293821473</v>
      </c>
      <c r="E25" s="68">
        <f>SUM(('3. Population-NSIP#'!E9*$H$15),0)</f>
        <v>190.24293848567919</v>
      </c>
      <c r="F25" s="382">
        <f t="shared" si="2"/>
        <v>1640</v>
      </c>
      <c r="G25" s="93">
        <f t="shared" si="0"/>
        <v>1.6198810770233697E-2</v>
      </c>
      <c r="H25" s="9"/>
    </row>
    <row r="26" spans="1:8">
      <c r="B26" s="103" t="s">
        <v>71</v>
      </c>
      <c r="C26" s="68">
        <f t="shared" si="1"/>
        <v>1000</v>
      </c>
      <c r="D26" s="68">
        <f>SUM(('3. Population-NSIP#'!C10*$H$14),0)</f>
        <v>625.17248615843323</v>
      </c>
      <c r="E26" s="68">
        <f>SUM(('3. Population-NSIP#'!E10*$H$15),0)</f>
        <v>1833.1425360964895</v>
      </c>
      <c r="F26" s="382">
        <f t="shared" si="2"/>
        <v>3458</v>
      </c>
      <c r="G26" s="93">
        <f t="shared" si="0"/>
        <v>3.4155785148456172E-2</v>
      </c>
      <c r="H26" s="9"/>
    </row>
    <row r="27" spans="1:8">
      <c r="B27" s="103" t="s">
        <v>65</v>
      </c>
      <c r="C27" s="68">
        <f t="shared" si="1"/>
        <v>1000</v>
      </c>
      <c r="D27" s="68">
        <f>SUM(('3. Population-NSIP#'!C11*$H$14),0)</f>
        <v>202.16472196278599</v>
      </c>
      <c r="E27" s="68">
        <f>SUM(('3. Population-NSIP#'!E11*$H$15),0)</f>
        <v>7852.2517076543581</v>
      </c>
      <c r="F27" s="382">
        <f t="shared" si="2"/>
        <v>9054</v>
      </c>
      <c r="G27" s="93">
        <f t="shared" si="0"/>
        <v>8.9429288240058469E-2</v>
      </c>
      <c r="H27" s="9"/>
    </row>
    <row r="28" spans="1:8">
      <c r="B28" s="103" t="s">
        <v>221</v>
      </c>
      <c r="C28" s="68">
        <f t="shared" si="1"/>
        <v>1000</v>
      </c>
      <c r="D28" s="68">
        <f>SUM(('3. Population-NSIP#'!C12*$H$14),0)</f>
        <v>19.150306730889938</v>
      </c>
      <c r="E28" s="68">
        <f>SUM(('3. Population-NSIP#'!E12*$H$15),0)+2</f>
        <v>12164.651934493899</v>
      </c>
      <c r="F28" s="382">
        <f t="shared" si="2"/>
        <v>13184</v>
      </c>
      <c r="G28" s="93">
        <f t="shared" si="0"/>
        <v>0.1302226348748543</v>
      </c>
      <c r="H28" s="9"/>
    </row>
    <row r="29" spans="1:8">
      <c r="B29" s="103" t="s">
        <v>75</v>
      </c>
      <c r="C29" s="68">
        <f t="shared" si="1"/>
        <v>1000</v>
      </c>
      <c r="D29" s="68">
        <f>SUM(('3. Population-NSIP#'!C13*$H$14),0)</f>
        <v>439.01978277504338</v>
      </c>
      <c r="E29" s="68">
        <f>SUM(('3. Population-NSIP#'!E13*$H$15),0)</f>
        <v>640.25113180421397</v>
      </c>
      <c r="F29" s="382">
        <f t="shared" si="2"/>
        <v>2079</v>
      </c>
      <c r="G29" s="93">
        <f t="shared" si="0"/>
        <v>2.0534955848363328E-2</v>
      </c>
      <c r="H29" s="9"/>
    </row>
    <row r="30" spans="1:8">
      <c r="B30" s="103" t="s">
        <v>59</v>
      </c>
      <c r="C30" s="68">
        <f t="shared" si="1"/>
        <v>1000</v>
      </c>
      <c r="D30" s="68">
        <f>SUM(('3. Population-NSIP#'!C14*$H$14),0)</f>
        <v>202.94130175579144</v>
      </c>
      <c r="E30" s="68">
        <f>SUM(('3. Population-NSIP#'!E14*$H$15),0)</f>
        <v>11190.472814591165</v>
      </c>
      <c r="F30" s="382">
        <f t="shared" si="2"/>
        <v>12393</v>
      </c>
      <c r="G30" s="93">
        <f t="shared" si="0"/>
        <v>0.12240967187530867</v>
      </c>
      <c r="H30" s="9"/>
    </row>
    <row r="31" spans="1:8">
      <c r="B31" s="103" t="s">
        <v>64</v>
      </c>
      <c r="C31" s="68">
        <f t="shared" si="1"/>
        <v>1000</v>
      </c>
      <c r="D31" s="68">
        <f>SUM(('3. Population-NSIP#'!C15*$H$14),0)</f>
        <v>175.20066383263332</v>
      </c>
      <c r="E31" s="68">
        <f>SUM(('3. Population-NSIP#'!E15*$H$15),0)</f>
        <v>5624.1988503829753</v>
      </c>
      <c r="F31" s="382">
        <f t="shared" si="2"/>
        <v>6799</v>
      </c>
      <c r="G31" s="93">
        <f t="shared" si="0"/>
        <v>6.7155923430987141E-2</v>
      </c>
      <c r="H31" s="9"/>
    </row>
    <row r="32" spans="1:8">
      <c r="B32" s="103" t="s">
        <v>68</v>
      </c>
      <c r="C32" s="68">
        <f t="shared" si="1"/>
        <v>1000</v>
      </c>
      <c r="D32" s="68">
        <f>SUM(('3. Population-NSIP#'!C16*$H$14),0)</f>
        <v>196.39698524972641</v>
      </c>
      <c r="E32" s="68">
        <f>SUM(('3. Population-NSIP#'!E16*$H$15),0)</f>
        <v>7731.9555420877723</v>
      </c>
      <c r="F32" s="382">
        <f t="shared" si="2"/>
        <v>8928</v>
      </c>
      <c r="G32" s="93">
        <f t="shared" si="0"/>
        <v>8.8184745461369785E-2</v>
      </c>
      <c r="H32" s="9"/>
    </row>
    <row r="33" spans="1:8">
      <c r="B33" s="103" t="s">
        <v>67</v>
      </c>
      <c r="C33" s="68">
        <f t="shared" si="1"/>
        <v>1000</v>
      </c>
      <c r="D33" s="68">
        <f>SUM(('3. Population-NSIP#'!C17*$H$14),0)</f>
        <v>143.13355735427481</v>
      </c>
      <c r="E33" s="68">
        <f>SUM(('3. Population-NSIP#'!E17*$H$15),0)</f>
        <v>2530.523654370822</v>
      </c>
      <c r="F33" s="382">
        <f t="shared" si="2"/>
        <v>3674</v>
      </c>
      <c r="G33" s="93">
        <f t="shared" si="0"/>
        <v>3.6289287054779636E-2</v>
      </c>
      <c r="H33" s="9"/>
    </row>
    <row r="34" spans="1:8">
      <c r="B34" s="103" t="s">
        <v>63</v>
      </c>
      <c r="C34" s="68">
        <f t="shared" si="1"/>
        <v>1000</v>
      </c>
      <c r="D34" s="68">
        <f>SUM(('3. Population-NSIP#'!C18*$H$14),0)</f>
        <v>32.156797226321402</v>
      </c>
      <c r="E34" s="68">
        <f>SUM(('3. Population-NSIP#'!E18*$H$15),0)</f>
        <v>9261.0525428022211</v>
      </c>
      <c r="F34" s="382">
        <f t="shared" si="2"/>
        <v>10293</v>
      </c>
      <c r="G34" s="93">
        <f t="shared" si="0"/>
        <v>0.10166729223049722</v>
      </c>
      <c r="H34" s="9"/>
    </row>
    <row r="35" spans="1:8" s="1" customFormat="1">
      <c r="A35"/>
      <c r="B35" s="71" t="s">
        <v>29</v>
      </c>
      <c r="C35" s="69">
        <f>SUM(C19:C34)</f>
        <v>16000</v>
      </c>
      <c r="D35" s="69">
        <f>SUM(D19:D34)</f>
        <v>4262</v>
      </c>
      <c r="E35" s="69">
        <f>SUM(E19:E34)</f>
        <v>80982</v>
      </c>
      <c r="F35" s="69">
        <f>SUM(F19:F34)</f>
        <v>101242</v>
      </c>
      <c r="G35" s="72">
        <f>SUM(G19:G34)</f>
        <v>1</v>
      </c>
      <c r="H35" s="10"/>
    </row>
    <row r="36" spans="1:8" ht="48.75" customHeight="1">
      <c r="B36" s="724"/>
      <c r="C36" s="724"/>
      <c r="D36" s="724"/>
      <c r="E36" s="724"/>
      <c r="F36" s="724"/>
      <c r="G36" s="724"/>
      <c r="H36" s="724"/>
    </row>
    <row r="37" spans="1:8">
      <c r="A37" s="359"/>
      <c r="B37" s="359"/>
    </row>
  </sheetData>
  <sheetProtection algorithmName="SHA-512" hashValue="3eK7KFix9Ft21sHre9edMCLLe4iDs/YXqrC71X/ol7gee0kWRf3C3tRm+GFjFoUy9AoV3HKGDxJ3xxi84fCxTw==" saltValue="MPKCjCEkxgI8+FcAToflVQ==" spinCount="100000" sheet="1" objects="1" scenarios="1"/>
  <sortState xmlns:xlrd2="http://schemas.microsoft.com/office/spreadsheetml/2017/richdata2" ref="B19:G34">
    <sortCondition ref="B19"/>
  </sortState>
  <pageMargins left="0.75" right="0.75" top="1" bottom="0.5" header="0.25" footer="0.3"/>
  <pageSetup orientation="landscape" horizontalDpi="1200" verticalDpi="1200" r:id="rId1"/>
  <headerFooter>
    <oddHeader>&amp;L&amp;G&amp;C&amp;"-,Bold"&amp;16 2023-2025 planning allocation
to Area Agencies on Aging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K33"/>
  <sheetViews>
    <sheetView showGridLines="0" topLeftCell="B1" zoomScale="85" zoomScaleNormal="85" zoomScaleSheetLayoutView="75" workbookViewId="0">
      <selection activeCell="U46" sqref="U46"/>
    </sheetView>
  </sheetViews>
  <sheetFormatPr defaultColWidth="32.7109375" defaultRowHeight="15.75"/>
  <cols>
    <col min="1" max="1" width="7.5703125" style="206" hidden="1" customWidth="1"/>
    <col min="2" max="2" width="16.140625" style="206" customWidth="1"/>
    <col min="3" max="3" width="15.42578125" style="206" bestFit="1" customWidth="1"/>
    <col min="4" max="4" width="15.42578125" style="206" customWidth="1"/>
    <col min="5" max="5" width="17.140625" style="206" customWidth="1"/>
    <col min="6" max="6" width="13" style="206" bestFit="1" customWidth="1"/>
    <col min="7" max="7" width="14.7109375" style="206" customWidth="1"/>
    <col min="8" max="8" width="13.140625" style="206" customWidth="1"/>
    <col min="9" max="9" width="15.42578125" style="240" bestFit="1" customWidth="1"/>
    <col min="10" max="10" width="32.140625" style="205" customWidth="1"/>
    <col min="11" max="250" width="32.7109375" style="206"/>
    <col min="251" max="251" width="0" style="206" hidden="1" customWidth="1"/>
    <col min="252" max="252" width="16.140625" style="206" customWidth="1"/>
    <col min="253" max="253" width="15.42578125" style="206" bestFit="1" customWidth="1"/>
    <col min="254" max="257" width="13" style="206" bestFit="1" customWidth="1"/>
    <col min="258" max="258" width="13.140625" style="206" customWidth="1"/>
    <col min="259" max="259" width="15.42578125" style="206" bestFit="1" customWidth="1"/>
    <col min="260" max="260" width="2.5703125" style="206" customWidth="1"/>
    <col min="261" max="261" width="16" style="206" customWidth="1"/>
    <col min="262" max="262" width="11" style="206" customWidth="1"/>
    <col min="263" max="263" width="16.140625" style="206" customWidth="1"/>
    <col min="264" max="506" width="32.7109375" style="206"/>
    <col min="507" max="507" width="0" style="206" hidden="1" customWidth="1"/>
    <col min="508" max="508" width="16.140625" style="206" customWidth="1"/>
    <col min="509" max="509" width="15.42578125" style="206" bestFit="1" customWidth="1"/>
    <col min="510" max="513" width="13" style="206" bestFit="1" customWidth="1"/>
    <col min="514" max="514" width="13.140625" style="206" customWidth="1"/>
    <col min="515" max="515" width="15.42578125" style="206" bestFit="1" customWidth="1"/>
    <col min="516" max="516" width="2.5703125" style="206" customWidth="1"/>
    <col min="517" max="517" width="16" style="206" customWidth="1"/>
    <col min="518" max="518" width="11" style="206" customWidth="1"/>
    <col min="519" max="519" width="16.140625" style="206" customWidth="1"/>
    <col min="520" max="762" width="32.7109375" style="206"/>
    <col min="763" max="763" width="0" style="206" hidden="1" customWidth="1"/>
    <col min="764" max="764" width="16.140625" style="206" customWidth="1"/>
    <col min="765" max="765" width="15.42578125" style="206" bestFit="1" customWidth="1"/>
    <col min="766" max="769" width="13" style="206" bestFit="1" customWidth="1"/>
    <col min="770" max="770" width="13.140625" style="206" customWidth="1"/>
    <col min="771" max="771" width="15.42578125" style="206" bestFit="1" customWidth="1"/>
    <col min="772" max="772" width="2.5703125" style="206" customWidth="1"/>
    <col min="773" max="773" width="16" style="206" customWidth="1"/>
    <col min="774" max="774" width="11" style="206" customWidth="1"/>
    <col min="775" max="775" width="16.140625" style="206" customWidth="1"/>
    <col min="776" max="1018" width="32.7109375" style="206"/>
    <col min="1019" max="1019" width="0" style="206" hidden="1" customWidth="1"/>
    <col min="1020" max="1020" width="16.140625" style="206" customWidth="1"/>
    <col min="1021" max="1021" width="15.42578125" style="206" bestFit="1" customWidth="1"/>
    <col min="1022" max="1025" width="13" style="206" bestFit="1" customWidth="1"/>
    <col min="1026" max="1026" width="13.140625" style="206" customWidth="1"/>
    <col min="1027" max="1027" width="15.42578125" style="206" bestFit="1" customWidth="1"/>
    <col min="1028" max="1028" width="2.5703125" style="206" customWidth="1"/>
    <col min="1029" max="1029" width="16" style="206" customWidth="1"/>
    <col min="1030" max="1030" width="11" style="206" customWidth="1"/>
    <col min="1031" max="1031" width="16.140625" style="206" customWidth="1"/>
    <col min="1032" max="1274" width="32.7109375" style="206"/>
    <col min="1275" max="1275" width="0" style="206" hidden="1" customWidth="1"/>
    <col min="1276" max="1276" width="16.140625" style="206" customWidth="1"/>
    <col min="1277" max="1277" width="15.42578125" style="206" bestFit="1" customWidth="1"/>
    <col min="1278" max="1281" width="13" style="206" bestFit="1" customWidth="1"/>
    <col min="1282" max="1282" width="13.140625" style="206" customWidth="1"/>
    <col min="1283" max="1283" width="15.42578125" style="206" bestFit="1" customWidth="1"/>
    <col min="1284" max="1284" width="2.5703125" style="206" customWidth="1"/>
    <col min="1285" max="1285" width="16" style="206" customWidth="1"/>
    <col min="1286" max="1286" width="11" style="206" customWidth="1"/>
    <col min="1287" max="1287" width="16.140625" style="206" customWidth="1"/>
    <col min="1288" max="1530" width="32.7109375" style="206"/>
    <col min="1531" max="1531" width="0" style="206" hidden="1" customWidth="1"/>
    <col min="1532" max="1532" width="16.140625" style="206" customWidth="1"/>
    <col min="1533" max="1533" width="15.42578125" style="206" bestFit="1" customWidth="1"/>
    <col min="1534" max="1537" width="13" style="206" bestFit="1" customWidth="1"/>
    <col min="1538" max="1538" width="13.140625" style="206" customWidth="1"/>
    <col min="1539" max="1539" width="15.42578125" style="206" bestFit="1" customWidth="1"/>
    <col min="1540" max="1540" width="2.5703125" style="206" customWidth="1"/>
    <col min="1541" max="1541" width="16" style="206" customWidth="1"/>
    <col min="1542" max="1542" width="11" style="206" customWidth="1"/>
    <col min="1543" max="1543" width="16.140625" style="206" customWidth="1"/>
    <col min="1544" max="1786" width="32.7109375" style="206"/>
    <col min="1787" max="1787" width="0" style="206" hidden="1" customWidth="1"/>
    <col min="1788" max="1788" width="16.140625" style="206" customWidth="1"/>
    <col min="1789" max="1789" width="15.42578125" style="206" bestFit="1" customWidth="1"/>
    <col min="1790" max="1793" width="13" style="206" bestFit="1" customWidth="1"/>
    <col min="1794" max="1794" width="13.140625" style="206" customWidth="1"/>
    <col min="1795" max="1795" width="15.42578125" style="206" bestFit="1" customWidth="1"/>
    <col min="1796" max="1796" width="2.5703125" style="206" customWidth="1"/>
    <col min="1797" max="1797" width="16" style="206" customWidth="1"/>
    <col min="1798" max="1798" width="11" style="206" customWidth="1"/>
    <col min="1799" max="1799" width="16.140625" style="206" customWidth="1"/>
    <col min="1800" max="2042" width="32.7109375" style="206"/>
    <col min="2043" max="2043" width="0" style="206" hidden="1" customWidth="1"/>
    <col min="2044" max="2044" width="16.140625" style="206" customWidth="1"/>
    <col min="2045" max="2045" width="15.42578125" style="206" bestFit="1" customWidth="1"/>
    <col min="2046" max="2049" width="13" style="206" bestFit="1" customWidth="1"/>
    <col min="2050" max="2050" width="13.140625" style="206" customWidth="1"/>
    <col min="2051" max="2051" width="15.42578125" style="206" bestFit="1" customWidth="1"/>
    <col min="2052" max="2052" width="2.5703125" style="206" customWidth="1"/>
    <col min="2053" max="2053" width="16" style="206" customWidth="1"/>
    <col min="2054" max="2054" width="11" style="206" customWidth="1"/>
    <col min="2055" max="2055" width="16.140625" style="206" customWidth="1"/>
    <col min="2056" max="2298" width="32.7109375" style="206"/>
    <col min="2299" max="2299" width="0" style="206" hidden="1" customWidth="1"/>
    <col min="2300" max="2300" width="16.140625" style="206" customWidth="1"/>
    <col min="2301" max="2301" width="15.42578125" style="206" bestFit="1" customWidth="1"/>
    <col min="2302" max="2305" width="13" style="206" bestFit="1" customWidth="1"/>
    <col min="2306" max="2306" width="13.140625" style="206" customWidth="1"/>
    <col min="2307" max="2307" width="15.42578125" style="206" bestFit="1" customWidth="1"/>
    <col min="2308" max="2308" width="2.5703125" style="206" customWidth="1"/>
    <col min="2309" max="2309" width="16" style="206" customWidth="1"/>
    <col min="2310" max="2310" width="11" style="206" customWidth="1"/>
    <col min="2311" max="2311" width="16.140625" style="206" customWidth="1"/>
    <col min="2312" max="2554" width="32.7109375" style="206"/>
    <col min="2555" max="2555" width="0" style="206" hidden="1" customWidth="1"/>
    <col min="2556" max="2556" width="16.140625" style="206" customWidth="1"/>
    <col min="2557" max="2557" width="15.42578125" style="206" bestFit="1" customWidth="1"/>
    <col min="2558" max="2561" width="13" style="206" bestFit="1" customWidth="1"/>
    <col min="2562" max="2562" width="13.140625" style="206" customWidth="1"/>
    <col min="2563" max="2563" width="15.42578125" style="206" bestFit="1" customWidth="1"/>
    <col min="2564" max="2564" width="2.5703125" style="206" customWidth="1"/>
    <col min="2565" max="2565" width="16" style="206" customWidth="1"/>
    <col min="2566" max="2566" width="11" style="206" customWidth="1"/>
    <col min="2567" max="2567" width="16.140625" style="206" customWidth="1"/>
    <col min="2568" max="2810" width="32.7109375" style="206"/>
    <col min="2811" max="2811" width="0" style="206" hidden="1" customWidth="1"/>
    <col min="2812" max="2812" width="16.140625" style="206" customWidth="1"/>
    <col min="2813" max="2813" width="15.42578125" style="206" bestFit="1" customWidth="1"/>
    <col min="2814" max="2817" width="13" style="206" bestFit="1" customWidth="1"/>
    <col min="2818" max="2818" width="13.140625" style="206" customWidth="1"/>
    <col min="2819" max="2819" width="15.42578125" style="206" bestFit="1" customWidth="1"/>
    <col min="2820" max="2820" width="2.5703125" style="206" customWidth="1"/>
    <col min="2821" max="2821" width="16" style="206" customWidth="1"/>
    <col min="2822" max="2822" width="11" style="206" customWidth="1"/>
    <col min="2823" max="2823" width="16.140625" style="206" customWidth="1"/>
    <col min="2824" max="3066" width="32.7109375" style="206"/>
    <col min="3067" max="3067" width="0" style="206" hidden="1" customWidth="1"/>
    <col min="3068" max="3068" width="16.140625" style="206" customWidth="1"/>
    <col min="3069" max="3069" width="15.42578125" style="206" bestFit="1" customWidth="1"/>
    <col min="3070" max="3073" width="13" style="206" bestFit="1" customWidth="1"/>
    <col min="3074" max="3074" width="13.140625" style="206" customWidth="1"/>
    <col min="3075" max="3075" width="15.42578125" style="206" bestFit="1" customWidth="1"/>
    <col min="3076" max="3076" width="2.5703125" style="206" customWidth="1"/>
    <col min="3077" max="3077" width="16" style="206" customWidth="1"/>
    <col min="3078" max="3078" width="11" style="206" customWidth="1"/>
    <col min="3079" max="3079" width="16.140625" style="206" customWidth="1"/>
    <col min="3080" max="3322" width="32.7109375" style="206"/>
    <col min="3323" max="3323" width="0" style="206" hidden="1" customWidth="1"/>
    <col min="3324" max="3324" width="16.140625" style="206" customWidth="1"/>
    <col min="3325" max="3325" width="15.42578125" style="206" bestFit="1" customWidth="1"/>
    <col min="3326" max="3329" width="13" style="206" bestFit="1" customWidth="1"/>
    <col min="3330" max="3330" width="13.140625" style="206" customWidth="1"/>
    <col min="3331" max="3331" width="15.42578125" style="206" bestFit="1" customWidth="1"/>
    <col min="3332" max="3332" width="2.5703125" style="206" customWidth="1"/>
    <col min="3333" max="3333" width="16" style="206" customWidth="1"/>
    <col min="3334" max="3334" width="11" style="206" customWidth="1"/>
    <col min="3335" max="3335" width="16.140625" style="206" customWidth="1"/>
    <col min="3336" max="3578" width="32.7109375" style="206"/>
    <col min="3579" max="3579" width="0" style="206" hidden="1" customWidth="1"/>
    <col min="3580" max="3580" width="16.140625" style="206" customWidth="1"/>
    <col min="3581" max="3581" width="15.42578125" style="206" bestFit="1" customWidth="1"/>
    <col min="3582" max="3585" width="13" style="206" bestFit="1" customWidth="1"/>
    <col min="3586" max="3586" width="13.140625" style="206" customWidth="1"/>
    <col min="3587" max="3587" width="15.42578125" style="206" bestFit="1" customWidth="1"/>
    <col min="3588" max="3588" width="2.5703125" style="206" customWidth="1"/>
    <col min="3589" max="3589" width="16" style="206" customWidth="1"/>
    <col min="3590" max="3590" width="11" style="206" customWidth="1"/>
    <col min="3591" max="3591" width="16.140625" style="206" customWidth="1"/>
    <col min="3592" max="3834" width="32.7109375" style="206"/>
    <col min="3835" max="3835" width="0" style="206" hidden="1" customWidth="1"/>
    <col min="3836" max="3836" width="16.140625" style="206" customWidth="1"/>
    <col min="3837" max="3837" width="15.42578125" style="206" bestFit="1" customWidth="1"/>
    <col min="3838" max="3841" width="13" style="206" bestFit="1" customWidth="1"/>
    <col min="3842" max="3842" width="13.140625" style="206" customWidth="1"/>
    <col min="3843" max="3843" width="15.42578125" style="206" bestFit="1" customWidth="1"/>
    <col min="3844" max="3844" width="2.5703125" style="206" customWidth="1"/>
    <col min="3845" max="3845" width="16" style="206" customWidth="1"/>
    <col min="3846" max="3846" width="11" style="206" customWidth="1"/>
    <col min="3847" max="3847" width="16.140625" style="206" customWidth="1"/>
    <col min="3848" max="4090" width="32.7109375" style="206"/>
    <col min="4091" max="4091" width="0" style="206" hidden="1" customWidth="1"/>
    <col min="4092" max="4092" width="16.140625" style="206" customWidth="1"/>
    <col min="4093" max="4093" width="15.42578125" style="206" bestFit="1" customWidth="1"/>
    <col min="4094" max="4097" width="13" style="206" bestFit="1" customWidth="1"/>
    <col min="4098" max="4098" width="13.140625" style="206" customWidth="1"/>
    <col min="4099" max="4099" width="15.42578125" style="206" bestFit="1" customWidth="1"/>
    <col min="4100" max="4100" width="2.5703125" style="206" customWidth="1"/>
    <col min="4101" max="4101" width="16" style="206" customWidth="1"/>
    <col min="4102" max="4102" width="11" style="206" customWidth="1"/>
    <col min="4103" max="4103" width="16.140625" style="206" customWidth="1"/>
    <col min="4104" max="4346" width="32.7109375" style="206"/>
    <col min="4347" max="4347" width="0" style="206" hidden="1" customWidth="1"/>
    <col min="4348" max="4348" width="16.140625" style="206" customWidth="1"/>
    <col min="4349" max="4349" width="15.42578125" style="206" bestFit="1" customWidth="1"/>
    <col min="4350" max="4353" width="13" style="206" bestFit="1" customWidth="1"/>
    <col min="4354" max="4354" width="13.140625" style="206" customWidth="1"/>
    <col min="4355" max="4355" width="15.42578125" style="206" bestFit="1" customWidth="1"/>
    <col min="4356" max="4356" width="2.5703125" style="206" customWidth="1"/>
    <col min="4357" max="4357" width="16" style="206" customWidth="1"/>
    <col min="4358" max="4358" width="11" style="206" customWidth="1"/>
    <col min="4359" max="4359" width="16.140625" style="206" customWidth="1"/>
    <col min="4360" max="4602" width="32.7109375" style="206"/>
    <col min="4603" max="4603" width="0" style="206" hidden="1" customWidth="1"/>
    <col min="4604" max="4604" width="16.140625" style="206" customWidth="1"/>
    <col min="4605" max="4605" width="15.42578125" style="206" bestFit="1" customWidth="1"/>
    <col min="4606" max="4609" width="13" style="206" bestFit="1" customWidth="1"/>
    <col min="4610" max="4610" width="13.140625" style="206" customWidth="1"/>
    <col min="4611" max="4611" width="15.42578125" style="206" bestFit="1" customWidth="1"/>
    <col min="4612" max="4612" width="2.5703125" style="206" customWidth="1"/>
    <col min="4613" max="4613" width="16" style="206" customWidth="1"/>
    <col min="4614" max="4614" width="11" style="206" customWidth="1"/>
    <col min="4615" max="4615" width="16.140625" style="206" customWidth="1"/>
    <col min="4616" max="4858" width="32.7109375" style="206"/>
    <col min="4859" max="4859" width="0" style="206" hidden="1" customWidth="1"/>
    <col min="4860" max="4860" width="16.140625" style="206" customWidth="1"/>
    <col min="4861" max="4861" width="15.42578125" style="206" bestFit="1" customWidth="1"/>
    <col min="4862" max="4865" width="13" style="206" bestFit="1" customWidth="1"/>
    <col min="4866" max="4866" width="13.140625" style="206" customWidth="1"/>
    <col min="4867" max="4867" width="15.42578125" style="206" bestFit="1" customWidth="1"/>
    <col min="4868" max="4868" width="2.5703125" style="206" customWidth="1"/>
    <col min="4869" max="4869" width="16" style="206" customWidth="1"/>
    <col min="4870" max="4870" width="11" style="206" customWidth="1"/>
    <col min="4871" max="4871" width="16.140625" style="206" customWidth="1"/>
    <col min="4872" max="5114" width="32.7109375" style="206"/>
    <col min="5115" max="5115" width="0" style="206" hidden="1" customWidth="1"/>
    <col min="5116" max="5116" width="16.140625" style="206" customWidth="1"/>
    <col min="5117" max="5117" width="15.42578125" style="206" bestFit="1" customWidth="1"/>
    <col min="5118" max="5121" width="13" style="206" bestFit="1" customWidth="1"/>
    <col min="5122" max="5122" width="13.140625" style="206" customWidth="1"/>
    <col min="5123" max="5123" width="15.42578125" style="206" bestFit="1" customWidth="1"/>
    <col min="5124" max="5124" width="2.5703125" style="206" customWidth="1"/>
    <col min="5125" max="5125" width="16" style="206" customWidth="1"/>
    <col min="5126" max="5126" width="11" style="206" customWidth="1"/>
    <col min="5127" max="5127" width="16.140625" style="206" customWidth="1"/>
    <col min="5128" max="5370" width="32.7109375" style="206"/>
    <col min="5371" max="5371" width="0" style="206" hidden="1" customWidth="1"/>
    <col min="5372" max="5372" width="16.140625" style="206" customWidth="1"/>
    <col min="5373" max="5373" width="15.42578125" style="206" bestFit="1" customWidth="1"/>
    <col min="5374" max="5377" width="13" style="206" bestFit="1" customWidth="1"/>
    <col min="5378" max="5378" width="13.140625" style="206" customWidth="1"/>
    <col min="5379" max="5379" width="15.42578125" style="206" bestFit="1" customWidth="1"/>
    <col min="5380" max="5380" width="2.5703125" style="206" customWidth="1"/>
    <col min="5381" max="5381" width="16" style="206" customWidth="1"/>
    <col min="5382" max="5382" width="11" style="206" customWidth="1"/>
    <col min="5383" max="5383" width="16.140625" style="206" customWidth="1"/>
    <col min="5384" max="5626" width="32.7109375" style="206"/>
    <col min="5627" max="5627" width="0" style="206" hidden="1" customWidth="1"/>
    <col min="5628" max="5628" width="16.140625" style="206" customWidth="1"/>
    <col min="5629" max="5629" width="15.42578125" style="206" bestFit="1" customWidth="1"/>
    <col min="5630" max="5633" width="13" style="206" bestFit="1" customWidth="1"/>
    <col min="5634" max="5634" width="13.140625" style="206" customWidth="1"/>
    <col min="5635" max="5635" width="15.42578125" style="206" bestFit="1" customWidth="1"/>
    <col min="5636" max="5636" width="2.5703125" style="206" customWidth="1"/>
    <col min="5637" max="5637" width="16" style="206" customWidth="1"/>
    <col min="5638" max="5638" width="11" style="206" customWidth="1"/>
    <col min="5639" max="5639" width="16.140625" style="206" customWidth="1"/>
    <col min="5640" max="5882" width="32.7109375" style="206"/>
    <col min="5883" max="5883" width="0" style="206" hidden="1" customWidth="1"/>
    <col min="5884" max="5884" width="16.140625" style="206" customWidth="1"/>
    <col min="5885" max="5885" width="15.42578125" style="206" bestFit="1" customWidth="1"/>
    <col min="5886" max="5889" width="13" style="206" bestFit="1" customWidth="1"/>
    <col min="5890" max="5890" width="13.140625" style="206" customWidth="1"/>
    <col min="5891" max="5891" width="15.42578125" style="206" bestFit="1" customWidth="1"/>
    <col min="5892" max="5892" width="2.5703125" style="206" customWidth="1"/>
    <col min="5893" max="5893" width="16" style="206" customWidth="1"/>
    <col min="5894" max="5894" width="11" style="206" customWidth="1"/>
    <col min="5895" max="5895" width="16.140625" style="206" customWidth="1"/>
    <col min="5896" max="6138" width="32.7109375" style="206"/>
    <col min="6139" max="6139" width="0" style="206" hidden="1" customWidth="1"/>
    <col min="6140" max="6140" width="16.140625" style="206" customWidth="1"/>
    <col min="6141" max="6141" width="15.42578125" style="206" bestFit="1" customWidth="1"/>
    <col min="6142" max="6145" width="13" style="206" bestFit="1" customWidth="1"/>
    <col min="6146" max="6146" width="13.140625" style="206" customWidth="1"/>
    <col min="6147" max="6147" width="15.42578125" style="206" bestFit="1" customWidth="1"/>
    <col min="6148" max="6148" width="2.5703125" style="206" customWidth="1"/>
    <col min="6149" max="6149" width="16" style="206" customWidth="1"/>
    <col min="6150" max="6150" width="11" style="206" customWidth="1"/>
    <col min="6151" max="6151" width="16.140625" style="206" customWidth="1"/>
    <col min="6152" max="6394" width="32.7109375" style="206"/>
    <col min="6395" max="6395" width="0" style="206" hidden="1" customWidth="1"/>
    <col min="6396" max="6396" width="16.140625" style="206" customWidth="1"/>
    <col min="6397" max="6397" width="15.42578125" style="206" bestFit="1" customWidth="1"/>
    <col min="6398" max="6401" width="13" style="206" bestFit="1" customWidth="1"/>
    <col min="6402" max="6402" width="13.140625" style="206" customWidth="1"/>
    <col min="6403" max="6403" width="15.42578125" style="206" bestFit="1" customWidth="1"/>
    <col min="6404" max="6404" width="2.5703125" style="206" customWidth="1"/>
    <col min="6405" max="6405" width="16" style="206" customWidth="1"/>
    <col min="6406" max="6406" width="11" style="206" customWidth="1"/>
    <col min="6407" max="6407" width="16.140625" style="206" customWidth="1"/>
    <col min="6408" max="6650" width="32.7109375" style="206"/>
    <col min="6651" max="6651" width="0" style="206" hidden="1" customWidth="1"/>
    <col min="6652" max="6652" width="16.140625" style="206" customWidth="1"/>
    <col min="6653" max="6653" width="15.42578125" style="206" bestFit="1" customWidth="1"/>
    <col min="6654" max="6657" width="13" style="206" bestFit="1" customWidth="1"/>
    <col min="6658" max="6658" width="13.140625" style="206" customWidth="1"/>
    <col min="6659" max="6659" width="15.42578125" style="206" bestFit="1" customWidth="1"/>
    <col min="6660" max="6660" width="2.5703125" style="206" customWidth="1"/>
    <col min="6661" max="6661" width="16" style="206" customWidth="1"/>
    <col min="6662" max="6662" width="11" style="206" customWidth="1"/>
    <col min="6663" max="6663" width="16.140625" style="206" customWidth="1"/>
    <col min="6664" max="6906" width="32.7109375" style="206"/>
    <col min="6907" max="6907" width="0" style="206" hidden="1" customWidth="1"/>
    <col min="6908" max="6908" width="16.140625" style="206" customWidth="1"/>
    <col min="6909" max="6909" width="15.42578125" style="206" bestFit="1" customWidth="1"/>
    <col min="6910" max="6913" width="13" style="206" bestFit="1" customWidth="1"/>
    <col min="6914" max="6914" width="13.140625" style="206" customWidth="1"/>
    <col min="6915" max="6915" width="15.42578125" style="206" bestFit="1" customWidth="1"/>
    <col min="6916" max="6916" width="2.5703125" style="206" customWidth="1"/>
    <col min="6917" max="6917" width="16" style="206" customWidth="1"/>
    <col min="6918" max="6918" width="11" style="206" customWidth="1"/>
    <col min="6919" max="6919" width="16.140625" style="206" customWidth="1"/>
    <col min="6920" max="7162" width="32.7109375" style="206"/>
    <col min="7163" max="7163" width="0" style="206" hidden="1" customWidth="1"/>
    <col min="7164" max="7164" width="16.140625" style="206" customWidth="1"/>
    <col min="7165" max="7165" width="15.42578125" style="206" bestFit="1" customWidth="1"/>
    <col min="7166" max="7169" width="13" style="206" bestFit="1" customWidth="1"/>
    <col min="7170" max="7170" width="13.140625" style="206" customWidth="1"/>
    <col min="7171" max="7171" width="15.42578125" style="206" bestFit="1" customWidth="1"/>
    <col min="7172" max="7172" width="2.5703125" style="206" customWidth="1"/>
    <col min="7173" max="7173" width="16" style="206" customWidth="1"/>
    <col min="7174" max="7174" width="11" style="206" customWidth="1"/>
    <col min="7175" max="7175" width="16.140625" style="206" customWidth="1"/>
    <col min="7176" max="7418" width="32.7109375" style="206"/>
    <col min="7419" max="7419" width="0" style="206" hidden="1" customWidth="1"/>
    <col min="7420" max="7420" width="16.140625" style="206" customWidth="1"/>
    <col min="7421" max="7421" width="15.42578125" style="206" bestFit="1" customWidth="1"/>
    <col min="7422" max="7425" width="13" style="206" bestFit="1" customWidth="1"/>
    <col min="7426" max="7426" width="13.140625" style="206" customWidth="1"/>
    <col min="7427" max="7427" width="15.42578125" style="206" bestFit="1" customWidth="1"/>
    <col min="7428" max="7428" width="2.5703125" style="206" customWidth="1"/>
    <col min="7429" max="7429" width="16" style="206" customWidth="1"/>
    <col min="7430" max="7430" width="11" style="206" customWidth="1"/>
    <col min="7431" max="7431" width="16.140625" style="206" customWidth="1"/>
    <col min="7432" max="7674" width="32.7109375" style="206"/>
    <col min="7675" max="7675" width="0" style="206" hidden="1" customWidth="1"/>
    <col min="7676" max="7676" width="16.140625" style="206" customWidth="1"/>
    <col min="7677" max="7677" width="15.42578125" style="206" bestFit="1" customWidth="1"/>
    <col min="7678" max="7681" width="13" style="206" bestFit="1" customWidth="1"/>
    <col min="7682" max="7682" width="13.140625" style="206" customWidth="1"/>
    <col min="7683" max="7683" width="15.42578125" style="206" bestFit="1" customWidth="1"/>
    <col min="7684" max="7684" width="2.5703125" style="206" customWidth="1"/>
    <col min="7685" max="7685" width="16" style="206" customWidth="1"/>
    <col min="7686" max="7686" width="11" style="206" customWidth="1"/>
    <col min="7687" max="7687" width="16.140625" style="206" customWidth="1"/>
    <col min="7688" max="7930" width="32.7109375" style="206"/>
    <col min="7931" max="7931" width="0" style="206" hidden="1" customWidth="1"/>
    <col min="7932" max="7932" width="16.140625" style="206" customWidth="1"/>
    <col min="7933" max="7933" width="15.42578125" style="206" bestFit="1" customWidth="1"/>
    <col min="7934" max="7937" width="13" style="206" bestFit="1" customWidth="1"/>
    <col min="7938" max="7938" width="13.140625" style="206" customWidth="1"/>
    <col min="7939" max="7939" width="15.42578125" style="206" bestFit="1" customWidth="1"/>
    <col min="7940" max="7940" width="2.5703125" style="206" customWidth="1"/>
    <col min="7941" max="7941" width="16" style="206" customWidth="1"/>
    <col min="7942" max="7942" width="11" style="206" customWidth="1"/>
    <col min="7943" max="7943" width="16.140625" style="206" customWidth="1"/>
    <col min="7944" max="8186" width="32.7109375" style="206"/>
    <col min="8187" max="8187" width="0" style="206" hidden="1" customWidth="1"/>
    <col min="8188" max="8188" width="16.140625" style="206" customWidth="1"/>
    <col min="8189" max="8189" width="15.42578125" style="206" bestFit="1" customWidth="1"/>
    <col min="8190" max="8193" width="13" style="206" bestFit="1" customWidth="1"/>
    <col min="8194" max="8194" width="13.140625" style="206" customWidth="1"/>
    <col min="8195" max="8195" width="15.42578125" style="206" bestFit="1" customWidth="1"/>
    <col min="8196" max="8196" width="2.5703125" style="206" customWidth="1"/>
    <col min="8197" max="8197" width="16" style="206" customWidth="1"/>
    <col min="8198" max="8198" width="11" style="206" customWidth="1"/>
    <col min="8199" max="8199" width="16.140625" style="206" customWidth="1"/>
    <col min="8200" max="8442" width="32.7109375" style="206"/>
    <col min="8443" max="8443" width="0" style="206" hidden="1" customWidth="1"/>
    <col min="8444" max="8444" width="16.140625" style="206" customWidth="1"/>
    <col min="8445" max="8445" width="15.42578125" style="206" bestFit="1" customWidth="1"/>
    <col min="8446" max="8449" width="13" style="206" bestFit="1" customWidth="1"/>
    <col min="8450" max="8450" width="13.140625" style="206" customWidth="1"/>
    <col min="8451" max="8451" width="15.42578125" style="206" bestFit="1" customWidth="1"/>
    <col min="8452" max="8452" width="2.5703125" style="206" customWidth="1"/>
    <col min="8453" max="8453" width="16" style="206" customWidth="1"/>
    <col min="8454" max="8454" width="11" style="206" customWidth="1"/>
    <col min="8455" max="8455" width="16.140625" style="206" customWidth="1"/>
    <col min="8456" max="8698" width="32.7109375" style="206"/>
    <col min="8699" max="8699" width="0" style="206" hidden="1" customWidth="1"/>
    <col min="8700" max="8700" width="16.140625" style="206" customWidth="1"/>
    <col min="8701" max="8701" width="15.42578125" style="206" bestFit="1" customWidth="1"/>
    <col min="8702" max="8705" width="13" style="206" bestFit="1" customWidth="1"/>
    <col min="8706" max="8706" width="13.140625" style="206" customWidth="1"/>
    <col min="8707" max="8707" width="15.42578125" style="206" bestFit="1" customWidth="1"/>
    <col min="8708" max="8708" width="2.5703125" style="206" customWidth="1"/>
    <col min="8709" max="8709" width="16" style="206" customWidth="1"/>
    <col min="8710" max="8710" width="11" style="206" customWidth="1"/>
    <col min="8711" max="8711" width="16.140625" style="206" customWidth="1"/>
    <col min="8712" max="8954" width="32.7109375" style="206"/>
    <col min="8955" max="8955" width="0" style="206" hidden="1" customWidth="1"/>
    <col min="8956" max="8956" width="16.140625" style="206" customWidth="1"/>
    <col min="8957" max="8957" width="15.42578125" style="206" bestFit="1" customWidth="1"/>
    <col min="8958" max="8961" width="13" style="206" bestFit="1" customWidth="1"/>
    <col min="8962" max="8962" width="13.140625" style="206" customWidth="1"/>
    <col min="8963" max="8963" width="15.42578125" style="206" bestFit="1" customWidth="1"/>
    <col min="8964" max="8964" width="2.5703125" style="206" customWidth="1"/>
    <col min="8965" max="8965" width="16" style="206" customWidth="1"/>
    <col min="8966" max="8966" width="11" style="206" customWidth="1"/>
    <col min="8967" max="8967" width="16.140625" style="206" customWidth="1"/>
    <col min="8968" max="9210" width="32.7109375" style="206"/>
    <col min="9211" max="9211" width="0" style="206" hidden="1" customWidth="1"/>
    <col min="9212" max="9212" width="16.140625" style="206" customWidth="1"/>
    <col min="9213" max="9213" width="15.42578125" style="206" bestFit="1" customWidth="1"/>
    <col min="9214" max="9217" width="13" style="206" bestFit="1" customWidth="1"/>
    <col min="9218" max="9218" width="13.140625" style="206" customWidth="1"/>
    <col min="9219" max="9219" width="15.42578125" style="206" bestFit="1" customWidth="1"/>
    <col min="9220" max="9220" width="2.5703125" style="206" customWidth="1"/>
    <col min="9221" max="9221" width="16" style="206" customWidth="1"/>
    <col min="9222" max="9222" width="11" style="206" customWidth="1"/>
    <col min="9223" max="9223" width="16.140625" style="206" customWidth="1"/>
    <col min="9224" max="9466" width="32.7109375" style="206"/>
    <col min="9467" max="9467" width="0" style="206" hidden="1" customWidth="1"/>
    <col min="9468" max="9468" width="16.140625" style="206" customWidth="1"/>
    <col min="9469" max="9469" width="15.42578125" style="206" bestFit="1" customWidth="1"/>
    <col min="9470" max="9473" width="13" style="206" bestFit="1" customWidth="1"/>
    <col min="9474" max="9474" width="13.140625" style="206" customWidth="1"/>
    <col min="9475" max="9475" width="15.42578125" style="206" bestFit="1" customWidth="1"/>
    <col min="9476" max="9476" width="2.5703125" style="206" customWidth="1"/>
    <col min="9477" max="9477" width="16" style="206" customWidth="1"/>
    <col min="9478" max="9478" width="11" style="206" customWidth="1"/>
    <col min="9479" max="9479" width="16.140625" style="206" customWidth="1"/>
    <col min="9480" max="9722" width="32.7109375" style="206"/>
    <col min="9723" max="9723" width="0" style="206" hidden="1" customWidth="1"/>
    <col min="9724" max="9724" width="16.140625" style="206" customWidth="1"/>
    <col min="9725" max="9725" width="15.42578125" style="206" bestFit="1" customWidth="1"/>
    <col min="9726" max="9729" width="13" style="206" bestFit="1" customWidth="1"/>
    <col min="9730" max="9730" width="13.140625" style="206" customWidth="1"/>
    <col min="9731" max="9731" width="15.42578125" style="206" bestFit="1" customWidth="1"/>
    <col min="9732" max="9732" width="2.5703125" style="206" customWidth="1"/>
    <col min="9733" max="9733" width="16" style="206" customWidth="1"/>
    <col min="9734" max="9734" width="11" style="206" customWidth="1"/>
    <col min="9735" max="9735" width="16.140625" style="206" customWidth="1"/>
    <col min="9736" max="9978" width="32.7109375" style="206"/>
    <col min="9979" max="9979" width="0" style="206" hidden="1" customWidth="1"/>
    <col min="9980" max="9980" width="16.140625" style="206" customWidth="1"/>
    <col min="9981" max="9981" width="15.42578125" style="206" bestFit="1" customWidth="1"/>
    <col min="9982" max="9985" width="13" style="206" bestFit="1" customWidth="1"/>
    <col min="9986" max="9986" width="13.140625" style="206" customWidth="1"/>
    <col min="9987" max="9987" width="15.42578125" style="206" bestFit="1" customWidth="1"/>
    <col min="9988" max="9988" width="2.5703125" style="206" customWidth="1"/>
    <col min="9989" max="9989" width="16" style="206" customWidth="1"/>
    <col min="9990" max="9990" width="11" style="206" customWidth="1"/>
    <col min="9991" max="9991" width="16.140625" style="206" customWidth="1"/>
    <col min="9992" max="10234" width="32.7109375" style="206"/>
    <col min="10235" max="10235" width="0" style="206" hidden="1" customWidth="1"/>
    <col min="10236" max="10236" width="16.140625" style="206" customWidth="1"/>
    <col min="10237" max="10237" width="15.42578125" style="206" bestFit="1" customWidth="1"/>
    <col min="10238" max="10241" width="13" style="206" bestFit="1" customWidth="1"/>
    <col min="10242" max="10242" width="13.140625" style="206" customWidth="1"/>
    <col min="10243" max="10243" width="15.42578125" style="206" bestFit="1" customWidth="1"/>
    <col min="10244" max="10244" width="2.5703125" style="206" customWidth="1"/>
    <col min="10245" max="10245" width="16" style="206" customWidth="1"/>
    <col min="10246" max="10246" width="11" style="206" customWidth="1"/>
    <col min="10247" max="10247" width="16.140625" style="206" customWidth="1"/>
    <col min="10248" max="10490" width="32.7109375" style="206"/>
    <col min="10491" max="10491" width="0" style="206" hidden="1" customWidth="1"/>
    <col min="10492" max="10492" width="16.140625" style="206" customWidth="1"/>
    <col min="10493" max="10493" width="15.42578125" style="206" bestFit="1" customWidth="1"/>
    <col min="10494" max="10497" width="13" style="206" bestFit="1" customWidth="1"/>
    <col min="10498" max="10498" width="13.140625" style="206" customWidth="1"/>
    <col min="10499" max="10499" width="15.42578125" style="206" bestFit="1" customWidth="1"/>
    <col min="10500" max="10500" width="2.5703125" style="206" customWidth="1"/>
    <col min="10501" max="10501" width="16" style="206" customWidth="1"/>
    <col min="10502" max="10502" width="11" style="206" customWidth="1"/>
    <col min="10503" max="10503" width="16.140625" style="206" customWidth="1"/>
    <col min="10504" max="10746" width="32.7109375" style="206"/>
    <col min="10747" max="10747" width="0" style="206" hidden="1" customWidth="1"/>
    <col min="10748" max="10748" width="16.140625" style="206" customWidth="1"/>
    <col min="10749" max="10749" width="15.42578125" style="206" bestFit="1" customWidth="1"/>
    <col min="10750" max="10753" width="13" style="206" bestFit="1" customWidth="1"/>
    <col min="10754" max="10754" width="13.140625" style="206" customWidth="1"/>
    <col min="10755" max="10755" width="15.42578125" style="206" bestFit="1" customWidth="1"/>
    <col min="10756" max="10756" width="2.5703125" style="206" customWidth="1"/>
    <col min="10757" max="10757" width="16" style="206" customWidth="1"/>
    <col min="10758" max="10758" width="11" style="206" customWidth="1"/>
    <col min="10759" max="10759" width="16.140625" style="206" customWidth="1"/>
    <col min="10760" max="11002" width="32.7109375" style="206"/>
    <col min="11003" max="11003" width="0" style="206" hidden="1" customWidth="1"/>
    <col min="11004" max="11004" width="16.140625" style="206" customWidth="1"/>
    <col min="11005" max="11005" width="15.42578125" style="206" bestFit="1" customWidth="1"/>
    <col min="11006" max="11009" width="13" style="206" bestFit="1" customWidth="1"/>
    <col min="11010" max="11010" width="13.140625" style="206" customWidth="1"/>
    <col min="11011" max="11011" width="15.42578125" style="206" bestFit="1" customWidth="1"/>
    <col min="11012" max="11012" width="2.5703125" style="206" customWidth="1"/>
    <col min="11013" max="11013" width="16" style="206" customWidth="1"/>
    <col min="11014" max="11014" width="11" style="206" customWidth="1"/>
    <col min="11015" max="11015" width="16.140625" style="206" customWidth="1"/>
    <col min="11016" max="11258" width="32.7109375" style="206"/>
    <col min="11259" max="11259" width="0" style="206" hidden="1" customWidth="1"/>
    <col min="11260" max="11260" width="16.140625" style="206" customWidth="1"/>
    <col min="11261" max="11261" width="15.42578125" style="206" bestFit="1" customWidth="1"/>
    <col min="11262" max="11265" width="13" style="206" bestFit="1" customWidth="1"/>
    <col min="11266" max="11266" width="13.140625" style="206" customWidth="1"/>
    <col min="11267" max="11267" width="15.42578125" style="206" bestFit="1" customWidth="1"/>
    <col min="11268" max="11268" width="2.5703125" style="206" customWidth="1"/>
    <col min="11269" max="11269" width="16" style="206" customWidth="1"/>
    <col min="11270" max="11270" width="11" style="206" customWidth="1"/>
    <col min="11271" max="11271" width="16.140625" style="206" customWidth="1"/>
    <col min="11272" max="11514" width="32.7109375" style="206"/>
    <col min="11515" max="11515" width="0" style="206" hidden="1" customWidth="1"/>
    <col min="11516" max="11516" width="16.140625" style="206" customWidth="1"/>
    <col min="11517" max="11517" width="15.42578125" style="206" bestFit="1" customWidth="1"/>
    <col min="11518" max="11521" width="13" style="206" bestFit="1" customWidth="1"/>
    <col min="11522" max="11522" width="13.140625" style="206" customWidth="1"/>
    <col min="11523" max="11523" width="15.42578125" style="206" bestFit="1" customWidth="1"/>
    <col min="11524" max="11524" width="2.5703125" style="206" customWidth="1"/>
    <col min="11525" max="11525" width="16" style="206" customWidth="1"/>
    <col min="11526" max="11526" width="11" style="206" customWidth="1"/>
    <col min="11527" max="11527" width="16.140625" style="206" customWidth="1"/>
    <col min="11528" max="11770" width="32.7109375" style="206"/>
    <col min="11771" max="11771" width="0" style="206" hidden="1" customWidth="1"/>
    <col min="11772" max="11772" width="16.140625" style="206" customWidth="1"/>
    <col min="11773" max="11773" width="15.42578125" style="206" bestFit="1" customWidth="1"/>
    <col min="11774" max="11777" width="13" style="206" bestFit="1" customWidth="1"/>
    <col min="11778" max="11778" width="13.140625" style="206" customWidth="1"/>
    <col min="11779" max="11779" width="15.42578125" style="206" bestFit="1" customWidth="1"/>
    <col min="11780" max="11780" width="2.5703125" style="206" customWidth="1"/>
    <col min="11781" max="11781" width="16" style="206" customWidth="1"/>
    <col min="11782" max="11782" width="11" style="206" customWidth="1"/>
    <col min="11783" max="11783" width="16.140625" style="206" customWidth="1"/>
    <col min="11784" max="12026" width="32.7109375" style="206"/>
    <col min="12027" max="12027" width="0" style="206" hidden="1" customWidth="1"/>
    <col min="12028" max="12028" width="16.140625" style="206" customWidth="1"/>
    <col min="12029" max="12029" width="15.42578125" style="206" bestFit="1" customWidth="1"/>
    <col min="12030" max="12033" width="13" style="206" bestFit="1" customWidth="1"/>
    <col min="12034" max="12034" width="13.140625" style="206" customWidth="1"/>
    <col min="12035" max="12035" width="15.42578125" style="206" bestFit="1" customWidth="1"/>
    <col min="12036" max="12036" width="2.5703125" style="206" customWidth="1"/>
    <col min="12037" max="12037" width="16" style="206" customWidth="1"/>
    <col min="12038" max="12038" width="11" style="206" customWidth="1"/>
    <col min="12039" max="12039" width="16.140625" style="206" customWidth="1"/>
    <col min="12040" max="12282" width="32.7109375" style="206"/>
    <col min="12283" max="12283" width="0" style="206" hidden="1" customWidth="1"/>
    <col min="12284" max="12284" width="16.140625" style="206" customWidth="1"/>
    <col min="12285" max="12285" width="15.42578125" style="206" bestFit="1" customWidth="1"/>
    <col min="12286" max="12289" width="13" style="206" bestFit="1" customWidth="1"/>
    <col min="12290" max="12290" width="13.140625" style="206" customWidth="1"/>
    <col min="12291" max="12291" width="15.42578125" style="206" bestFit="1" customWidth="1"/>
    <col min="12292" max="12292" width="2.5703125" style="206" customWidth="1"/>
    <col min="12293" max="12293" width="16" style="206" customWidth="1"/>
    <col min="12294" max="12294" width="11" style="206" customWidth="1"/>
    <col min="12295" max="12295" width="16.140625" style="206" customWidth="1"/>
    <col min="12296" max="12538" width="32.7109375" style="206"/>
    <col min="12539" max="12539" width="0" style="206" hidden="1" customWidth="1"/>
    <col min="12540" max="12540" width="16.140625" style="206" customWidth="1"/>
    <col min="12541" max="12541" width="15.42578125" style="206" bestFit="1" customWidth="1"/>
    <col min="12542" max="12545" width="13" style="206" bestFit="1" customWidth="1"/>
    <col min="12546" max="12546" width="13.140625" style="206" customWidth="1"/>
    <col min="12547" max="12547" width="15.42578125" style="206" bestFit="1" customWidth="1"/>
    <col min="12548" max="12548" width="2.5703125" style="206" customWidth="1"/>
    <col min="12549" max="12549" width="16" style="206" customWidth="1"/>
    <col min="12550" max="12550" width="11" style="206" customWidth="1"/>
    <col min="12551" max="12551" width="16.140625" style="206" customWidth="1"/>
    <col min="12552" max="12794" width="32.7109375" style="206"/>
    <col min="12795" max="12795" width="0" style="206" hidden="1" customWidth="1"/>
    <col min="12796" max="12796" width="16.140625" style="206" customWidth="1"/>
    <col min="12797" max="12797" width="15.42578125" style="206" bestFit="1" customWidth="1"/>
    <col min="12798" max="12801" width="13" style="206" bestFit="1" customWidth="1"/>
    <col min="12802" max="12802" width="13.140625" style="206" customWidth="1"/>
    <col min="12803" max="12803" width="15.42578125" style="206" bestFit="1" customWidth="1"/>
    <col min="12804" max="12804" width="2.5703125" style="206" customWidth="1"/>
    <col min="12805" max="12805" width="16" style="206" customWidth="1"/>
    <col min="12806" max="12806" width="11" style="206" customWidth="1"/>
    <col min="12807" max="12807" width="16.140625" style="206" customWidth="1"/>
    <col min="12808" max="13050" width="32.7109375" style="206"/>
    <col min="13051" max="13051" width="0" style="206" hidden="1" customWidth="1"/>
    <col min="13052" max="13052" width="16.140625" style="206" customWidth="1"/>
    <col min="13053" max="13053" width="15.42578125" style="206" bestFit="1" customWidth="1"/>
    <col min="13054" max="13057" width="13" style="206" bestFit="1" customWidth="1"/>
    <col min="13058" max="13058" width="13.140625" style="206" customWidth="1"/>
    <col min="13059" max="13059" width="15.42578125" style="206" bestFit="1" customWidth="1"/>
    <col min="13060" max="13060" width="2.5703125" style="206" customWidth="1"/>
    <col min="13061" max="13061" width="16" style="206" customWidth="1"/>
    <col min="13062" max="13062" width="11" style="206" customWidth="1"/>
    <col min="13063" max="13063" width="16.140625" style="206" customWidth="1"/>
    <col min="13064" max="13306" width="32.7109375" style="206"/>
    <col min="13307" max="13307" width="0" style="206" hidden="1" customWidth="1"/>
    <col min="13308" max="13308" width="16.140625" style="206" customWidth="1"/>
    <col min="13309" max="13309" width="15.42578125" style="206" bestFit="1" customWidth="1"/>
    <col min="13310" max="13313" width="13" style="206" bestFit="1" customWidth="1"/>
    <col min="13314" max="13314" width="13.140625" style="206" customWidth="1"/>
    <col min="13315" max="13315" width="15.42578125" style="206" bestFit="1" customWidth="1"/>
    <col min="13316" max="13316" width="2.5703125" style="206" customWidth="1"/>
    <col min="13317" max="13317" width="16" style="206" customWidth="1"/>
    <col min="13318" max="13318" width="11" style="206" customWidth="1"/>
    <col min="13319" max="13319" width="16.140625" style="206" customWidth="1"/>
    <col min="13320" max="13562" width="32.7109375" style="206"/>
    <col min="13563" max="13563" width="0" style="206" hidden="1" customWidth="1"/>
    <col min="13564" max="13564" width="16.140625" style="206" customWidth="1"/>
    <col min="13565" max="13565" width="15.42578125" style="206" bestFit="1" customWidth="1"/>
    <col min="13566" max="13569" width="13" style="206" bestFit="1" customWidth="1"/>
    <col min="13570" max="13570" width="13.140625" style="206" customWidth="1"/>
    <col min="13571" max="13571" width="15.42578125" style="206" bestFit="1" customWidth="1"/>
    <col min="13572" max="13572" width="2.5703125" style="206" customWidth="1"/>
    <col min="13573" max="13573" width="16" style="206" customWidth="1"/>
    <col min="13574" max="13574" width="11" style="206" customWidth="1"/>
    <col min="13575" max="13575" width="16.140625" style="206" customWidth="1"/>
    <col min="13576" max="13818" width="32.7109375" style="206"/>
    <col min="13819" max="13819" width="0" style="206" hidden="1" customWidth="1"/>
    <col min="13820" max="13820" width="16.140625" style="206" customWidth="1"/>
    <col min="13821" max="13821" width="15.42578125" style="206" bestFit="1" customWidth="1"/>
    <col min="13822" max="13825" width="13" style="206" bestFit="1" customWidth="1"/>
    <col min="13826" max="13826" width="13.140625" style="206" customWidth="1"/>
    <col min="13827" max="13827" width="15.42578125" style="206" bestFit="1" customWidth="1"/>
    <col min="13828" max="13828" width="2.5703125" style="206" customWidth="1"/>
    <col min="13829" max="13829" width="16" style="206" customWidth="1"/>
    <col min="13830" max="13830" width="11" style="206" customWidth="1"/>
    <col min="13831" max="13831" width="16.140625" style="206" customWidth="1"/>
    <col min="13832" max="14074" width="32.7109375" style="206"/>
    <col min="14075" max="14075" width="0" style="206" hidden="1" customWidth="1"/>
    <col min="14076" max="14076" width="16.140625" style="206" customWidth="1"/>
    <col min="14077" max="14077" width="15.42578125" style="206" bestFit="1" customWidth="1"/>
    <col min="14078" max="14081" width="13" style="206" bestFit="1" customWidth="1"/>
    <col min="14082" max="14082" width="13.140625" style="206" customWidth="1"/>
    <col min="14083" max="14083" width="15.42578125" style="206" bestFit="1" customWidth="1"/>
    <col min="14084" max="14084" width="2.5703125" style="206" customWidth="1"/>
    <col min="14085" max="14085" width="16" style="206" customWidth="1"/>
    <col min="14086" max="14086" width="11" style="206" customWidth="1"/>
    <col min="14087" max="14087" width="16.140625" style="206" customWidth="1"/>
    <col min="14088" max="14330" width="32.7109375" style="206"/>
    <col min="14331" max="14331" width="0" style="206" hidden="1" customWidth="1"/>
    <col min="14332" max="14332" width="16.140625" style="206" customWidth="1"/>
    <col min="14333" max="14333" width="15.42578125" style="206" bestFit="1" customWidth="1"/>
    <col min="14334" max="14337" width="13" style="206" bestFit="1" customWidth="1"/>
    <col min="14338" max="14338" width="13.140625" style="206" customWidth="1"/>
    <col min="14339" max="14339" width="15.42578125" style="206" bestFit="1" customWidth="1"/>
    <col min="14340" max="14340" width="2.5703125" style="206" customWidth="1"/>
    <col min="14341" max="14341" width="16" style="206" customWidth="1"/>
    <col min="14342" max="14342" width="11" style="206" customWidth="1"/>
    <col min="14343" max="14343" width="16.140625" style="206" customWidth="1"/>
    <col min="14344" max="14586" width="32.7109375" style="206"/>
    <col min="14587" max="14587" width="0" style="206" hidden="1" customWidth="1"/>
    <col min="14588" max="14588" width="16.140625" style="206" customWidth="1"/>
    <col min="14589" max="14589" width="15.42578125" style="206" bestFit="1" customWidth="1"/>
    <col min="14590" max="14593" width="13" style="206" bestFit="1" customWidth="1"/>
    <col min="14594" max="14594" width="13.140625" style="206" customWidth="1"/>
    <col min="14595" max="14595" width="15.42578125" style="206" bestFit="1" customWidth="1"/>
    <col min="14596" max="14596" width="2.5703125" style="206" customWidth="1"/>
    <col min="14597" max="14597" width="16" style="206" customWidth="1"/>
    <col min="14598" max="14598" width="11" style="206" customWidth="1"/>
    <col min="14599" max="14599" width="16.140625" style="206" customWidth="1"/>
    <col min="14600" max="14842" width="32.7109375" style="206"/>
    <col min="14843" max="14843" width="0" style="206" hidden="1" customWidth="1"/>
    <col min="14844" max="14844" width="16.140625" style="206" customWidth="1"/>
    <col min="14845" max="14845" width="15.42578125" style="206" bestFit="1" customWidth="1"/>
    <col min="14846" max="14849" width="13" style="206" bestFit="1" customWidth="1"/>
    <col min="14850" max="14850" width="13.140625" style="206" customWidth="1"/>
    <col min="14851" max="14851" width="15.42578125" style="206" bestFit="1" customWidth="1"/>
    <col min="14852" max="14852" width="2.5703125" style="206" customWidth="1"/>
    <col min="14853" max="14853" width="16" style="206" customWidth="1"/>
    <col min="14854" max="14854" width="11" style="206" customWidth="1"/>
    <col min="14855" max="14855" width="16.140625" style="206" customWidth="1"/>
    <col min="14856" max="15098" width="32.7109375" style="206"/>
    <col min="15099" max="15099" width="0" style="206" hidden="1" customWidth="1"/>
    <col min="15100" max="15100" width="16.140625" style="206" customWidth="1"/>
    <col min="15101" max="15101" width="15.42578125" style="206" bestFit="1" customWidth="1"/>
    <col min="15102" max="15105" width="13" style="206" bestFit="1" customWidth="1"/>
    <col min="15106" max="15106" width="13.140625" style="206" customWidth="1"/>
    <col min="15107" max="15107" width="15.42578125" style="206" bestFit="1" customWidth="1"/>
    <col min="15108" max="15108" width="2.5703125" style="206" customWidth="1"/>
    <col min="15109" max="15109" width="16" style="206" customWidth="1"/>
    <col min="15110" max="15110" width="11" style="206" customWidth="1"/>
    <col min="15111" max="15111" width="16.140625" style="206" customWidth="1"/>
    <col min="15112" max="15354" width="32.7109375" style="206"/>
    <col min="15355" max="15355" width="0" style="206" hidden="1" customWidth="1"/>
    <col min="15356" max="15356" width="16.140625" style="206" customWidth="1"/>
    <col min="15357" max="15357" width="15.42578125" style="206" bestFit="1" customWidth="1"/>
    <col min="15358" max="15361" width="13" style="206" bestFit="1" customWidth="1"/>
    <col min="15362" max="15362" width="13.140625" style="206" customWidth="1"/>
    <col min="15363" max="15363" width="15.42578125" style="206" bestFit="1" customWidth="1"/>
    <col min="15364" max="15364" width="2.5703125" style="206" customWidth="1"/>
    <col min="15365" max="15365" width="16" style="206" customWidth="1"/>
    <col min="15366" max="15366" width="11" style="206" customWidth="1"/>
    <col min="15367" max="15367" width="16.140625" style="206" customWidth="1"/>
    <col min="15368" max="15610" width="32.7109375" style="206"/>
    <col min="15611" max="15611" width="0" style="206" hidden="1" customWidth="1"/>
    <col min="15612" max="15612" width="16.140625" style="206" customWidth="1"/>
    <col min="15613" max="15613" width="15.42578125" style="206" bestFit="1" customWidth="1"/>
    <col min="15614" max="15617" width="13" style="206" bestFit="1" customWidth="1"/>
    <col min="15618" max="15618" width="13.140625" style="206" customWidth="1"/>
    <col min="15619" max="15619" width="15.42578125" style="206" bestFit="1" customWidth="1"/>
    <col min="15620" max="15620" width="2.5703125" style="206" customWidth="1"/>
    <col min="15621" max="15621" width="16" style="206" customWidth="1"/>
    <col min="15622" max="15622" width="11" style="206" customWidth="1"/>
    <col min="15623" max="15623" width="16.140625" style="206" customWidth="1"/>
    <col min="15624" max="15866" width="32.7109375" style="206"/>
    <col min="15867" max="15867" width="0" style="206" hidden="1" customWidth="1"/>
    <col min="15868" max="15868" width="16.140625" style="206" customWidth="1"/>
    <col min="15869" max="15869" width="15.42578125" style="206" bestFit="1" customWidth="1"/>
    <col min="15870" max="15873" width="13" style="206" bestFit="1" customWidth="1"/>
    <col min="15874" max="15874" width="13.140625" style="206" customWidth="1"/>
    <col min="15875" max="15875" width="15.42578125" style="206" bestFit="1" customWidth="1"/>
    <col min="15876" max="15876" width="2.5703125" style="206" customWidth="1"/>
    <col min="15877" max="15877" width="16" style="206" customWidth="1"/>
    <col min="15878" max="15878" width="11" style="206" customWidth="1"/>
    <col min="15879" max="15879" width="16.140625" style="206" customWidth="1"/>
    <col min="15880" max="16122" width="32.7109375" style="206"/>
    <col min="16123" max="16123" width="0" style="206" hidden="1" customWidth="1"/>
    <col min="16124" max="16124" width="16.140625" style="206" customWidth="1"/>
    <col min="16125" max="16125" width="15.42578125" style="206" bestFit="1" customWidth="1"/>
    <col min="16126" max="16129" width="13" style="206" bestFit="1" customWidth="1"/>
    <col min="16130" max="16130" width="13.140625" style="206" customWidth="1"/>
    <col min="16131" max="16131" width="15.42578125" style="206" bestFit="1" customWidth="1"/>
    <col min="16132" max="16132" width="2.5703125" style="206" customWidth="1"/>
    <col min="16133" max="16133" width="16" style="206" customWidth="1"/>
    <col min="16134" max="16134" width="11" style="206" customWidth="1"/>
    <col min="16135" max="16135" width="16.140625" style="206" customWidth="1"/>
    <col min="16136" max="16384" width="32.7109375" style="206"/>
  </cols>
  <sheetData>
    <row r="1" spans="1:11" ht="91.9" customHeight="1" thickTop="1" thickBot="1">
      <c r="A1" s="201" t="s">
        <v>257</v>
      </c>
      <c r="B1" s="202" t="s">
        <v>58</v>
      </c>
      <c r="C1" s="203" t="s">
        <v>258</v>
      </c>
      <c r="D1" s="203" t="s">
        <v>259</v>
      </c>
      <c r="E1" s="203" t="s">
        <v>260</v>
      </c>
      <c r="F1" s="203" t="s">
        <v>261</v>
      </c>
      <c r="G1" s="203" t="s">
        <v>262</v>
      </c>
      <c r="H1" s="203" t="s">
        <v>263</v>
      </c>
      <c r="I1" s="204" t="s">
        <v>43</v>
      </c>
      <c r="J1"/>
      <c r="K1"/>
    </row>
    <row r="2" spans="1:11" ht="28.15" customHeight="1" thickTop="1">
      <c r="A2" s="207" t="s">
        <v>264</v>
      </c>
      <c r="B2" s="208" t="s">
        <v>72</v>
      </c>
      <c r="C2" s="209"/>
      <c r="D2" s="209"/>
      <c r="E2" s="209"/>
      <c r="F2" s="209"/>
      <c r="G2" s="209"/>
      <c r="H2" s="209"/>
      <c r="I2" s="210">
        <f>SUM(C2:H2)</f>
        <v>0</v>
      </c>
      <c r="J2"/>
      <c r="K2"/>
    </row>
    <row r="3" spans="1:11" ht="28.15" customHeight="1">
      <c r="A3" s="212" t="s">
        <v>264</v>
      </c>
      <c r="B3" s="213" t="s">
        <v>61</v>
      </c>
      <c r="C3" s="214"/>
      <c r="D3" s="214"/>
      <c r="E3" s="214"/>
      <c r="F3" s="214"/>
      <c r="G3" s="214"/>
      <c r="H3" s="214"/>
      <c r="I3" s="215">
        <f t="shared" ref="I3:I18" si="0">SUM(C3:H3)</f>
        <v>0</v>
      </c>
      <c r="J3" s="216"/>
    </row>
    <row r="4" spans="1:11" ht="28.15" customHeight="1">
      <c r="A4" s="207" t="s">
        <v>264</v>
      </c>
      <c r="B4" s="217" t="s">
        <v>73</v>
      </c>
      <c r="C4" s="218"/>
      <c r="D4" s="218"/>
      <c r="E4" s="218"/>
      <c r="F4" s="218"/>
      <c r="G4" s="218"/>
      <c r="H4" s="218"/>
      <c r="I4" s="211">
        <f t="shared" si="0"/>
        <v>0</v>
      </c>
      <c r="J4" s="216"/>
    </row>
    <row r="5" spans="1:11" ht="28.15" customHeight="1">
      <c r="A5" s="219" t="s">
        <v>264</v>
      </c>
      <c r="B5" s="213" t="s">
        <v>60</v>
      </c>
      <c r="C5" s="214"/>
      <c r="D5" s="214"/>
      <c r="E5" s="214"/>
      <c r="F5" s="214"/>
      <c r="G5" s="214"/>
      <c r="H5" s="214"/>
      <c r="I5" s="215">
        <f t="shared" si="0"/>
        <v>0</v>
      </c>
      <c r="J5" s="216"/>
    </row>
    <row r="6" spans="1:11" ht="28.15" customHeight="1">
      <c r="A6" s="207" t="s">
        <v>264</v>
      </c>
      <c r="B6" s="217" t="s">
        <v>70</v>
      </c>
      <c r="C6" s="218"/>
      <c r="D6" s="218"/>
      <c r="E6" s="218"/>
      <c r="F6" s="218"/>
      <c r="G6" s="218"/>
      <c r="H6" s="218"/>
      <c r="I6" s="211">
        <f t="shared" si="0"/>
        <v>0</v>
      </c>
      <c r="J6" s="216"/>
    </row>
    <row r="7" spans="1:11" ht="28.15" customHeight="1">
      <c r="A7" s="219" t="s">
        <v>264</v>
      </c>
      <c r="B7" s="213" t="s">
        <v>169</v>
      </c>
      <c r="C7" s="214"/>
      <c r="D7" s="214"/>
      <c r="E7" s="214"/>
      <c r="F7" s="214"/>
      <c r="G7" s="214"/>
      <c r="H7" s="214"/>
      <c r="I7" s="215">
        <f t="shared" si="0"/>
        <v>0</v>
      </c>
      <c r="J7" s="216"/>
    </row>
    <row r="8" spans="1:11" ht="28.15" customHeight="1">
      <c r="A8" s="207" t="s">
        <v>264</v>
      </c>
      <c r="B8" s="217" t="s">
        <v>74</v>
      </c>
      <c r="C8" s="218"/>
      <c r="D8" s="218"/>
      <c r="E8" s="218"/>
      <c r="F8" s="218"/>
      <c r="G8" s="218"/>
      <c r="H8" s="218"/>
      <c r="I8" s="211">
        <f t="shared" si="0"/>
        <v>0</v>
      </c>
      <c r="J8" s="216"/>
    </row>
    <row r="9" spans="1:11" ht="28.15" customHeight="1">
      <c r="A9" s="219" t="s">
        <v>264</v>
      </c>
      <c r="B9" s="220" t="s">
        <v>71</v>
      </c>
      <c r="C9" s="214"/>
      <c r="D9" s="214"/>
      <c r="E9" s="214"/>
      <c r="F9" s="214"/>
      <c r="G9" s="214"/>
      <c r="H9" s="214"/>
      <c r="I9" s="215">
        <f t="shared" si="0"/>
        <v>0</v>
      </c>
      <c r="J9" s="216"/>
    </row>
    <row r="10" spans="1:11" ht="28.15" customHeight="1">
      <c r="A10" s="207" t="s">
        <v>264</v>
      </c>
      <c r="B10" s="217" t="s">
        <v>65</v>
      </c>
      <c r="C10" s="218"/>
      <c r="D10" s="218"/>
      <c r="E10" s="218"/>
      <c r="F10" s="218"/>
      <c r="G10" s="218"/>
      <c r="H10" s="218"/>
      <c r="I10" s="211">
        <f t="shared" si="0"/>
        <v>0</v>
      </c>
      <c r="J10" s="216"/>
    </row>
    <row r="11" spans="1:11" ht="28.15" customHeight="1">
      <c r="A11" s="219" t="s">
        <v>264</v>
      </c>
      <c r="B11" s="213" t="s">
        <v>178</v>
      </c>
      <c r="C11" s="214"/>
      <c r="D11" s="214"/>
      <c r="E11" s="214"/>
      <c r="F11" s="214"/>
      <c r="G11" s="214"/>
      <c r="H11" s="214"/>
      <c r="I11" s="215">
        <f t="shared" si="0"/>
        <v>0</v>
      </c>
      <c r="J11" s="216"/>
    </row>
    <row r="12" spans="1:11" ht="28.15" customHeight="1">
      <c r="A12" s="219" t="s">
        <v>264</v>
      </c>
      <c r="B12" s="213" t="s">
        <v>75</v>
      </c>
      <c r="C12" s="214"/>
      <c r="D12" s="214"/>
      <c r="E12" s="214"/>
      <c r="F12" s="214"/>
      <c r="G12" s="214"/>
      <c r="H12" s="214"/>
      <c r="I12" s="215">
        <f t="shared" si="0"/>
        <v>0</v>
      </c>
      <c r="J12" s="216"/>
    </row>
    <row r="13" spans="1:11" ht="28.15" customHeight="1">
      <c r="A13" s="207" t="s">
        <v>264</v>
      </c>
      <c r="B13" s="217" t="s">
        <v>59</v>
      </c>
      <c r="C13" s="218"/>
      <c r="D13" s="218"/>
      <c r="E13" s="218"/>
      <c r="F13" s="218"/>
      <c r="G13" s="218"/>
      <c r="H13" s="218"/>
      <c r="I13" s="211">
        <f t="shared" si="0"/>
        <v>0</v>
      </c>
      <c r="J13" s="216"/>
    </row>
    <row r="14" spans="1:11" ht="28.15" customHeight="1">
      <c r="A14" s="219" t="s">
        <v>264</v>
      </c>
      <c r="B14" s="213" t="s">
        <v>64</v>
      </c>
      <c r="C14" s="214"/>
      <c r="D14" s="214"/>
      <c r="E14" s="214"/>
      <c r="F14" s="214"/>
      <c r="G14" s="214"/>
      <c r="H14" s="214"/>
      <c r="I14" s="215">
        <f t="shared" si="0"/>
        <v>0</v>
      </c>
      <c r="J14" s="216"/>
    </row>
    <row r="15" spans="1:11" ht="28.15" customHeight="1">
      <c r="A15" s="207" t="s">
        <v>264</v>
      </c>
      <c r="B15" s="217" t="s">
        <v>68</v>
      </c>
      <c r="C15" s="218"/>
      <c r="D15" s="218"/>
      <c r="E15" s="218"/>
      <c r="F15" s="218"/>
      <c r="G15" s="218"/>
      <c r="H15" s="218"/>
      <c r="I15" s="211">
        <f t="shared" si="0"/>
        <v>0</v>
      </c>
      <c r="J15" s="216"/>
    </row>
    <row r="16" spans="1:11" ht="28.15" customHeight="1">
      <c r="A16" s="219" t="s">
        <v>264</v>
      </c>
      <c r="B16" s="221" t="s">
        <v>67</v>
      </c>
      <c r="C16" s="222"/>
      <c r="D16" s="222"/>
      <c r="E16" s="222"/>
      <c r="F16" s="222"/>
      <c r="G16" s="222"/>
      <c r="H16" s="222"/>
      <c r="I16" s="215">
        <f t="shared" si="0"/>
        <v>0</v>
      </c>
      <c r="J16" s="216"/>
    </row>
    <row r="17" spans="1:10" ht="28.15" customHeight="1" thickBot="1">
      <c r="A17" s="207" t="s">
        <v>264</v>
      </c>
      <c r="B17" s="223" t="s">
        <v>63</v>
      </c>
      <c r="C17" s="224"/>
      <c r="D17" s="224"/>
      <c r="E17" s="224"/>
      <c r="F17" s="224"/>
      <c r="G17" s="224"/>
      <c r="H17" s="224"/>
      <c r="I17" s="225">
        <f t="shared" si="0"/>
        <v>0</v>
      </c>
      <c r="J17" s="216"/>
    </row>
    <row r="18" spans="1:10" ht="28.15" customHeight="1" thickTop="1" thickBot="1">
      <c r="A18" s="226"/>
      <c r="B18" s="227" t="s">
        <v>173</v>
      </c>
      <c r="C18" s="228">
        <f t="shared" ref="C18:H18" si="1">SUM(C2:C17)</f>
        <v>0</v>
      </c>
      <c r="D18" s="228">
        <f t="shared" si="1"/>
        <v>0</v>
      </c>
      <c r="E18" s="228">
        <f t="shared" si="1"/>
        <v>0</v>
      </c>
      <c r="F18" s="229">
        <f t="shared" si="1"/>
        <v>0</v>
      </c>
      <c r="G18" s="229">
        <f t="shared" si="1"/>
        <v>0</v>
      </c>
      <c r="H18" s="228">
        <f t="shared" si="1"/>
        <v>0</v>
      </c>
      <c r="I18" s="230">
        <f t="shared" si="0"/>
        <v>0</v>
      </c>
    </row>
    <row r="19" spans="1:10" ht="28.15" customHeight="1" thickTop="1">
      <c r="B19"/>
      <c r="C19"/>
      <c r="D19"/>
      <c r="E19"/>
      <c r="F19"/>
      <c r="G19"/>
      <c r="H19"/>
      <c r="I19"/>
    </row>
    <row r="20" spans="1:10">
      <c r="B20"/>
      <c r="C20"/>
      <c r="D20"/>
      <c r="E20"/>
      <c r="F20"/>
      <c r="G20"/>
      <c r="H20"/>
      <c r="I20"/>
    </row>
    <row r="21" spans="1:10" ht="28.15" customHeight="1">
      <c r="A21" s="207"/>
      <c r="B21"/>
      <c r="C21"/>
      <c r="D21"/>
      <c r="E21"/>
      <c r="F21"/>
      <c r="G21"/>
      <c r="H21"/>
      <c r="I21"/>
      <c r="J21" s="216"/>
    </row>
    <row r="22" spans="1:10">
      <c r="B22" s="235"/>
      <c r="C22" s="233"/>
      <c r="D22" s="233"/>
      <c r="E22" s="233"/>
      <c r="F22" s="233"/>
      <c r="G22" s="233"/>
      <c r="H22" s="233"/>
      <c r="I22" s="233"/>
      <c r="J22" s="234"/>
    </row>
    <row r="23" spans="1:10">
      <c r="B23" s="235"/>
      <c r="C23" s="233"/>
      <c r="D23" s="233"/>
      <c r="E23" s="233"/>
      <c r="F23" s="233"/>
      <c r="G23" s="233"/>
      <c r="H23" s="233"/>
      <c r="I23" s="233"/>
      <c r="J23" s="234"/>
    </row>
    <row r="24" spans="1:10" ht="16.5">
      <c r="B24" s="236"/>
      <c r="C24" s="233"/>
      <c r="D24" s="233"/>
      <c r="E24" s="233"/>
      <c r="F24" s="233"/>
      <c r="G24" s="233"/>
      <c r="H24" s="233"/>
      <c r="I24" s="233"/>
      <c r="J24" s="237"/>
    </row>
    <row r="25" spans="1:10">
      <c r="B25" s="238"/>
      <c r="C25" s="233"/>
      <c r="D25" s="233"/>
      <c r="E25" s="233"/>
      <c r="F25" s="233"/>
      <c r="G25" s="233"/>
      <c r="H25" s="233"/>
      <c r="I25" s="233"/>
      <c r="J25" s="233"/>
    </row>
    <row r="26" spans="1:10">
      <c r="B26" s="239"/>
      <c r="C26" s="233"/>
      <c r="D26" s="233"/>
      <c r="E26" s="233"/>
      <c r="F26" s="233"/>
      <c r="G26" s="233"/>
      <c r="H26" s="233"/>
      <c r="I26" s="233"/>
      <c r="J26" s="233"/>
    </row>
    <row r="27" spans="1:10">
      <c r="B27" s="234"/>
      <c r="C27" s="233"/>
      <c r="D27" s="233"/>
      <c r="E27" s="233"/>
      <c r="F27" s="233"/>
      <c r="G27" s="233"/>
      <c r="H27" s="233"/>
      <c r="I27" s="233"/>
      <c r="J27" s="233"/>
    </row>
    <row r="28" spans="1:10">
      <c r="B28" s="234"/>
      <c r="C28" s="234"/>
      <c r="D28" s="234"/>
      <c r="E28" s="234"/>
      <c r="F28" s="234"/>
      <c r="G28" s="234"/>
      <c r="H28" s="234"/>
      <c r="I28" s="234"/>
      <c r="J28" s="234"/>
    </row>
    <row r="29" spans="1:10">
      <c r="B29" s="234"/>
      <c r="C29" s="233"/>
      <c r="D29" s="233"/>
      <c r="E29" s="233"/>
      <c r="F29" s="233"/>
      <c r="G29" s="233"/>
      <c r="H29" s="233"/>
      <c r="I29" s="233"/>
      <c r="J29" s="234"/>
    </row>
    <row r="30" spans="1:10">
      <c r="B30" s="205"/>
      <c r="C30" s="205"/>
      <c r="D30" s="205"/>
      <c r="E30" s="205"/>
      <c r="F30" s="205"/>
      <c r="G30" s="205"/>
      <c r="H30" s="205"/>
      <c r="I30" s="234"/>
    </row>
    <row r="31" spans="1:10">
      <c r="B31" s="205"/>
      <c r="C31" s="205"/>
      <c r="D31" s="205"/>
      <c r="E31" s="205"/>
      <c r="F31" s="205"/>
      <c r="G31" s="205"/>
      <c r="H31" s="205"/>
      <c r="I31" s="234"/>
    </row>
    <row r="32" spans="1:10">
      <c r="B32" s="205"/>
      <c r="C32" s="205"/>
      <c r="D32" s="205"/>
      <c r="E32" s="205"/>
      <c r="F32" s="205"/>
      <c r="G32" s="205"/>
      <c r="H32" s="205"/>
      <c r="I32" s="234"/>
    </row>
    <row r="33" spans="2:9">
      <c r="B33" s="205"/>
      <c r="C33" s="205"/>
      <c r="D33" s="205"/>
      <c r="E33" s="205"/>
      <c r="F33" s="205"/>
      <c r="G33" s="205"/>
      <c r="H33" s="205"/>
      <c r="I33" s="234"/>
    </row>
  </sheetData>
  <pageMargins left="0.75" right="0.75" top="1.5" bottom="0.5" header="0.25" footer="0.5"/>
  <pageSetup scale="79" orientation="landscape" r:id="rId1"/>
  <headerFooter alignWithMargins="0">
    <oddHeader xml:space="preserve">&amp;L&amp;G&amp;C&amp;"Arial Black,Bold"&amp;14AAA 2023-2025 FUNDING ALLOCATION
</oddHeader>
    <oddFooter>&amp;R&amp;"Century Gothic,Regular"Page &amp;P</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114BD-97D4-48A5-9C18-7F3FCD769180}">
  <sheetPr>
    <tabColor theme="7" tint="0.59999389629810485"/>
    <pageSetUpPr fitToPage="1"/>
  </sheetPr>
  <dimension ref="A1:M33"/>
  <sheetViews>
    <sheetView showGridLines="0" topLeftCell="B1" zoomScale="75" zoomScaleNormal="75" zoomScaleSheetLayoutView="75" workbookViewId="0">
      <selection activeCell="B7" sqref="B7"/>
    </sheetView>
  </sheetViews>
  <sheetFormatPr defaultColWidth="32.7109375" defaultRowHeight="15.75"/>
  <cols>
    <col min="1" max="1" width="7.5703125" style="206" hidden="1" customWidth="1"/>
    <col min="2" max="2" width="16.140625" style="206" customWidth="1"/>
    <col min="3" max="3" width="17.85546875" style="206" bestFit="1" customWidth="1"/>
    <col min="4" max="4" width="18.85546875" style="206" bestFit="1" customWidth="1"/>
    <col min="5" max="5" width="20.42578125" style="206" bestFit="1" customWidth="1"/>
    <col min="6" max="6" width="14.7109375" style="206" bestFit="1" customWidth="1"/>
    <col min="7" max="7" width="14.7109375" style="206" customWidth="1"/>
    <col min="8" max="8" width="19.85546875" style="206" customWidth="1"/>
    <col min="9" max="9" width="18.140625" style="206" customWidth="1"/>
    <col min="10" max="10" width="17" style="240" bestFit="1" customWidth="1"/>
    <col min="11" max="11" width="13" style="205" customWidth="1"/>
    <col min="12" max="12" width="18.5703125" style="206" customWidth="1"/>
    <col min="13" max="252" width="32.7109375" style="206"/>
    <col min="253" max="253" width="0" style="206" hidden="1" customWidth="1"/>
    <col min="254" max="254" width="16.140625" style="206" customWidth="1"/>
    <col min="255" max="255" width="15.42578125" style="206" bestFit="1" customWidth="1"/>
    <col min="256" max="259" width="13" style="206" bestFit="1" customWidth="1"/>
    <col min="260" max="260" width="13.140625" style="206" customWidth="1"/>
    <col min="261" max="261" width="15.42578125" style="206" bestFit="1" customWidth="1"/>
    <col min="262" max="262" width="2.5703125" style="206" customWidth="1"/>
    <col min="263" max="263" width="16" style="206" customWidth="1"/>
    <col min="264" max="264" width="11" style="206" customWidth="1"/>
    <col min="265" max="265" width="16.140625" style="206" customWidth="1"/>
    <col min="266" max="508" width="32.7109375" style="206"/>
    <col min="509" max="509" width="0" style="206" hidden="1" customWidth="1"/>
    <col min="510" max="510" width="16.140625" style="206" customWidth="1"/>
    <col min="511" max="511" width="15.42578125" style="206" bestFit="1" customWidth="1"/>
    <col min="512" max="515" width="13" style="206" bestFit="1" customWidth="1"/>
    <col min="516" max="516" width="13.140625" style="206" customWidth="1"/>
    <col min="517" max="517" width="15.42578125" style="206" bestFit="1" customWidth="1"/>
    <col min="518" max="518" width="2.5703125" style="206" customWidth="1"/>
    <col min="519" max="519" width="16" style="206" customWidth="1"/>
    <col min="520" max="520" width="11" style="206" customWidth="1"/>
    <col min="521" max="521" width="16.140625" style="206" customWidth="1"/>
    <col min="522" max="764" width="32.7109375" style="206"/>
    <col min="765" max="765" width="0" style="206" hidden="1" customWidth="1"/>
    <col min="766" max="766" width="16.140625" style="206" customWidth="1"/>
    <col min="767" max="767" width="15.42578125" style="206" bestFit="1" customWidth="1"/>
    <col min="768" max="771" width="13" style="206" bestFit="1" customWidth="1"/>
    <col min="772" max="772" width="13.140625" style="206" customWidth="1"/>
    <col min="773" max="773" width="15.42578125" style="206" bestFit="1" customWidth="1"/>
    <col min="774" max="774" width="2.5703125" style="206" customWidth="1"/>
    <col min="775" max="775" width="16" style="206" customWidth="1"/>
    <col min="776" max="776" width="11" style="206" customWidth="1"/>
    <col min="777" max="777" width="16.140625" style="206" customWidth="1"/>
    <col min="778" max="1020" width="32.7109375" style="206"/>
    <col min="1021" max="1021" width="0" style="206" hidden="1" customWidth="1"/>
    <col min="1022" max="1022" width="16.140625" style="206" customWidth="1"/>
    <col min="1023" max="1023" width="15.42578125" style="206" bestFit="1" customWidth="1"/>
    <col min="1024" max="1027" width="13" style="206" bestFit="1" customWidth="1"/>
    <col min="1028" max="1028" width="13.140625" style="206" customWidth="1"/>
    <col min="1029" max="1029" width="15.42578125" style="206" bestFit="1" customWidth="1"/>
    <col min="1030" max="1030" width="2.5703125" style="206" customWidth="1"/>
    <col min="1031" max="1031" width="16" style="206" customWidth="1"/>
    <col min="1032" max="1032" width="11" style="206" customWidth="1"/>
    <col min="1033" max="1033" width="16.140625" style="206" customWidth="1"/>
    <col min="1034" max="1276" width="32.7109375" style="206"/>
    <col min="1277" max="1277" width="0" style="206" hidden="1" customWidth="1"/>
    <col min="1278" max="1278" width="16.140625" style="206" customWidth="1"/>
    <col min="1279" max="1279" width="15.42578125" style="206" bestFit="1" customWidth="1"/>
    <col min="1280" max="1283" width="13" style="206" bestFit="1" customWidth="1"/>
    <col min="1284" max="1284" width="13.140625" style="206" customWidth="1"/>
    <col min="1285" max="1285" width="15.42578125" style="206" bestFit="1" customWidth="1"/>
    <col min="1286" max="1286" width="2.5703125" style="206" customWidth="1"/>
    <col min="1287" max="1287" width="16" style="206" customWidth="1"/>
    <col min="1288" max="1288" width="11" style="206" customWidth="1"/>
    <col min="1289" max="1289" width="16.140625" style="206" customWidth="1"/>
    <col min="1290" max="1532" width="32.7109375" style="206"/>
    <col min="1533" max="1533" width="0" style="206" hidden="1" customWidth="1"/>
    <col min="1534" max="1534" width="16.140625" style="206" customWidth="1"/>
    <col min="1535" max="1535" width="15.42578125" style="206" bestFit="1" customWidth="1"/>
    <col min="1536" max="1539" width="13" style="206" bestFit="1" customWidth="1"/>
    <col min="1540" max="1540" width="13.140625" style="206" customWidth="1"/>
    <col min="1541" max="1541" width="15.42578125" style="206" bestFit="1" customWidth="1"/>
    <col min="1542" max="1542" width="2.5703125" style="206" customWidth="1"/>
    <col min="1543" max="1543" width="16" style="206" customWidth="1"/>
    <col min="1544" max="1544" width="11" style="206" customWidth="1"/>
    <col min="1545" max="1545" width="16.140625" style="206" customWidth="1"/>
    <col min="1546" max="1788" width="32.7109375" style="206"/>
    <col min="1789" max="1789" width="0" style="206" hidden="1" customWidth="1"/>
    <col min="1790" max="1790" width="16.140625" style="206" customWidth="1"/>
    <col min="1791" max="1791" width="15.42578125" style="206" bestFit="1" customWidth="1"/>
    <col min="1792" max="1795" width="13" style="206" bestFit="1" customWidth="1"/>
    <col min="1796" max="1796" width="13.140625" style="206" customWidth="1"/>
    <col min="1797" max="1797" width="15.42578125" style="206" bestFit="1" customWidth="1"/>
    <col min="1798" max="1798" width="2.5703125" style="206" customWidth="1"/>
    <col min="1799" max="1799" width="16" style="206" customWidth="1"/>
    <col min="1800" max="1800" width="11" style="206" customWidth="1"/>
    <col min="1801" max="1801" width="16.140625" style="206" customWidth="1"/>
    <col min="1802" max="2044" width="32.7109375" style="206"/>
    <col min="2045" max="2045" width="0" style="206" hidden="1" customWidth="1"/>
    <col min="2046" max="2046" width="16.140625" style="206" customWidth="1"/>
    <col min="2047" max="2047" width="15.42578125" style="206" bestFit="1" customWidth="1"/>
    <col min="2048" max="2051" width="13" style="206" bestFit="1" customWidth="1"/>
    <col min="2052" max="2052" width="13.140625" style="206" customWidth="1"/>
    <col min="2053" max="2053" width="15.42578125" style="206" bestFit="1" customWidth="1"/>
    <col min="2054" max="2054" width="2.5703125" style="206" customWidth="1"/>
    <col min="2055" max="2055" width="16" style="206" customWidth="1"/>
    <col min="2056" max="2056" width="11" style="206" customWidth="1"/>
    <col min="2057" max="2057" width="16.140625" style="206" customWidth="1"/>
    <col min="2058" max="2300" width="32.7109375" style="206"/>
    <col min="2301" max="2301" width="0" style="206" hidden="1" customWidth="1"/>
    <col min="2302" max="2302" width="16.140625" style="206" customWidth="1"/>
    <col min="2303" max="2303" width="15.42578125" style="206" bestFit="1" customWidth="1"/>
    <col min="2304" max="2307" width="13" style="206" bestFit="1" customWidth="1"/>
    <col min="2308" max="2308" width="13.140625" style="206" customWidth="1"/>
    <col min="2309" max="2309" width="15.42578125" style="206" bestFit="1" customWidth="1"/>
    <col min="2310" max="2310" width="2.5703125" style="206" customWidth="1"/>
    <col min="2311" max="2311" width="16" style="206" customWidth="1"/>
    <col min="2312" max="2312" width="11" style="206" customWidth="1"/>
    <col min="2313" max="2313" width="16.140625" style="206" customWidth="1"/>
    <col min="2314" max="2556" width="32.7109375" style="206"/>
    <col min="2557" max="2557" width="0" style="206" hidden="1" customWidth="1"/>
    <col min="2558" max="2558" width="16.140625" style="206" customWidth="1"/>
    <col min="2559" max="2559" width="15.42578125" style="206" bestFit="1" customWidth="1"/>
    <col min="2560" max="2563" width="13" style="206" bestFit="1" customWidth="1"/>
    <col min="2564" max="2564" width="13.140625" style="206" customWidth="1"/>
    <col min="2565" max="2565" width="15.42578125" style="206" bestFit="1" customWidth="1"/>
    <col min="2566" max="2566" width="2.5703125" style="206" customWidth="1"/>
    <col min="2567" max="2567" width="16" style="206" customWidth="1"/>
    <col min="2568" max="2568" width="11" style="206" customWidth="1"/>
    <col min="2569" max="2569" width="16.140625" style="206" customWidth="1"/>
    <col min="2570" max="2812" width="32.7109375" style="206"/>
    <col min="2813" max="2813" width="0" style="206" hidden="1" customWidth="1"/>
    <col min="2814" max="2814" width="16.140625" style="206" customWidth="1"/>
    <col min="2815" max="2815" width="15.42578125" style="206" bestFit="1" customWidth="1"/>
    <col min="2816" max="2819" width="13" style="206" bestFit="1" customWidth="1"/>
    <col min="2820" max="2820" width="13.140625" style="206" customWidth="1"/>
    <col min="2821" max="2821" width="15.42578125" style="206" bestFit="1" customWidth="1"/>
    <col min="2822" max="2822" width="2.5703125" style="206" customWidth="1"/>
    <col min="2823" max="2823" width="16" style="206" customWidth="1"/>
    <col min="2824" max="2824" width="11" style="206" customWidth="1"/>
    <col min="2825" max="2825" width="16.140625" style="206" customWidth="1"/>
    <col min="2826" max="3068" width="32.7109375" style="206"/>
    <col min="3069" max="3069" width="0" style="206" hidden="1" customWidth="1"/>
    <col min="3070" max="3070" width="16.140625" style="206" customWidth="1"/>
    <col min="3071" max="3071" width="15.42578125" style="206" bestFit="1" customWidth="1"/>
    <col min="3072" max="3075" width="13" style="206" bestFit="1" customWidth="1"/>
    <col min="3076" max="3076" width="13.140625" style="206" customWidth="1"/>
    <col min="3077" max="3077" width="15.42578125" style="206" bestFit="1" customWidth="1"/>
    <col min="3078" max="3078" width="2.5703125" style="206" customWidth="1"/>
    <col min="3079" max="3079" width="16" style="206" customWidth="1"/>
    <col min="3080" max="3080" width="11" style="206" customWidth="1"/>
    <col min="3081" max="3081" width="16.140625" style="206" customWidth="1"/>
    <col min="3082" max="3324" width="32.7109375" style="206"/>
    <col min="3325" max="3325" width="0" style="206" hidden="1" customWidth="1"/>
    <col min="3326" max="3326" width="16.140625" style="206" customWidth="1"/>
    <col min="3327" max="3327" width="15.42578125" style="206" bestFit="1" customWidth="1"/>
    <col min="3328" max="3331" width="13" style="206" bestFit="1" customWidth="1"/>
    <col min="3332" max="3332" width="13.140625" style="206" customWidth="1"/>
    <col min="3333" max="3333" width="15.42578125" style="206" bestFit="1" customWidth="1"/>
    <col min="3334" max="3334" width="2.5703125" style="206" customWidth="1"/>
    <col min="3335" max="3335" width="16" style="206" customWidth="1"/>
    <col min="3336" max="3336" width="11" style="206" customWidth="1"/>
    <col min="3337" max="3337" width="16.140625" style="206" customWidth="1"/>
    <col min="3338" max="3580" width="32.7109375" style="206"/>
    <col min="3581" max="3581" width="0" style="206" hidden="1" customWidth="1"/>
    <col min="3582" max="3582" width="16.140625" style="206" customWidth="1"/>
    <col min="3583" max="3583" width="15.42578125" style="206" bestFit="1" customWidth="1"/>
    <col min="3584" max="3587" width="13" style="206" bestFit="1" customWidth="1"/>
    <col min="3588" max="3588" width="13.140625" style="206" customWidth="1"/>
    <col min="3589" max="3589" width="15.42578125" style="206" bestFit="1" customWidth="1"/>
    <col min="3590" max="3590" width="2.5703125" style="206" customWidth="1"/>
    <col min="3591" max="3591" width="16" style="206" customWidth="1"/>
    <col min="3592" max="3592" width="11" style="206" customWidth="1"/>
    <col min="3593" max="3593" width="16.140625" style="206" customWidth="1"/>
    <col min="3594" max="3836" width="32.7109375" style="206"/>
    <col min="3837" max="3837" width="0" style="206" hidden="1" customWidth="1"/>
    <col min="3838" max="3838" width="16.140625" style="206" customWidth="1"/>
    <col min="3839" max="3839" width="15.42578125" style="206" bestFit="1" customWidth="1"/>
    <col min="3840" max="3843" width="13" style="206" bestFit="1" customWidth="1"/>
    <col min="3844" max="3844" width="13.140625" style="206" customWidth="1"/>
    <col min="3845" max="3845" width="15.42578125" style="206" bestFit="1" customWidth="1"/>
    <col min="3846" max="3846" width="2.5703125" style="206" customWidth="1"/>
    <col min="3847" max="3847" width="16" style="206" customWidth="1"/>
    <col min="3848" max="3848" width="11" style="206" customWidth="1"/>
    <col min="3849" max="3849" width="16.140625" style="206" customWidth="1"/>
    <col min="3850" max="4092" width="32.7109375" style="206"/>
    <col min="4093" max="4093" width="0" style="206" hidden="1" customWidth="1"/>
    <col min="4094" max="4094" width="16.140625" style="206" customWidth="1"/>
    <col min="4095" max="4095" width="15.42578125" style="206" bestFit="1" customWidth="1"/>
    <col min="4096" max="4099" width="13" style="206" bestFit="1" customWidth="1"/>
    <col min="4100" max="4100" width="13.140625" style="206" customWidth="1"/>
    <col min="4101" max="4101" width="15.42578125" style="206" bestFit="1" customWidth="1"/>
    <col min="4102" max="4102" width="2.5703125" style="206" customWidth="1"/>
    <col min="4103" max="4103" width="16" style="206" customWidth="1"/>
    <col min="4104" max="4104" width="11" style="206" customWidth="1"/>
    <col min="4105" max="4105" width="16.140625" style="206" customWidth="1"/>
    <col min="4106" max="4348" width="32.7109375" style="206"/>
    <col min="4349" max="4349" width="0" style="206" hidden="1" customWidth="1"/>
    <col min="4350" max="4350" width="16.140625" style="206" customWidth="1"/>
    <col min="4351" max="4351" width="15.42578125" style="206" bestFit="1" customWidth="1"/>
    <col min="4352" max="4355" width="13" style="206" bestFit="1" customWidth="1"/>
    <col min="4356" max="4356" width="13.140625" style="206" customWidth="1"/>
    <col min="4357" max="4357" width="15.42578125" style="206" bestFit="1" customWidth="1"/>
    <col min="4358" max="4358" width="2.5703125" style="206" customWidth="1"/>
    <col min="4359" max="4359" width="16" style="206" customWidth="1"/>
    <col min="4360" max="4360" width="11" style="206" customWidth="1"/>
    <col min="4361" max="4361" width="16.140625" style="206" customWidth="1"/>
    <col min="4362" max="4604" width="32.7109375" style="206"/>
    <col min="4605" max="4605" width="0" style="206" hidden="1" customWidth="1"/>
    <col min="4606" max="4606" width="16.140625" style="206" customWidth="1"/>
    <col min="4607" max="4607" width="15.42578125" style="206" bestFit="1" customWidth="1"/>
    <col min="4608" max="4611" width="13" style="206" bestFit="1" customWidth="1"/>
    <col min="4612" max="4612" width="13.140625" style="206" customWidth="1"/>
    <col min="4613" max="4613" width="15.42578125" style="206" bestFit="1" customWidth="1"/>
    <col min="4614" max="4614" width="2.5703125" style="206" customWidth="1"/>
    <col min="4615" max="4615" width="16" style="206" customWidth="1"/>
    <col min="4616" max="4616" width="11" style="206" customWidth="1"/>
    <col min="4617" max="4617" width="16.140625" style="206" customWidth="1"/>
    <col min="4618" max="4860" width="32.7109375" style="206"/>
    <col min="4861" max="4861" width="0" style="206" hidden="1" customWidth="1"/>
    <col min="4862" max="4862" width="16.140625" style="206" customWidth="1"/>
    <col min="4863" max="4863" width="15.42578125" style="206" bestFit="1" customWidth="1"/>
    <col min="4864" max="4867" width="13" style="206" bestFit="1" customWidth="1"/>
    <col min="4868" max="4868" width="13.140625" style="206" customWidth="1"/>
    <col min="4869" max="4869" width="15.42578125" style="206" bestFit="1" customWidth="1"/>
    <col min="4870" max="4870" width="2.5703125" style="206" customWidth="1"/>
    <col min="4871" max="4871" width="16" style="206" customWidth="1"/>
    <col min="4872" max="4872" width="11" style="206" customWidth="1"/>
    <col min="4873" max="4873" width="16.140625" style="206" customWidth="1"/>
    <col min="4874" max="5116" width="32.7109375" style="206"/>
    <col min="5117" max="5117" width="0" style="206" hidden="1" customWidth="1"/>
    <col min="5118" max="5118" width="16.140625" style="206" customWidth="1"/>
    <col min="5119" max="5119" width="15.42578125" style="206" bestFit="1" customWidth="1"/>
    <col min="5120" max="5123" width="13" style="206" bestFit="1" customWidth="1"/>
    <col min="5124" max="5124" width="13.140625" style="206" customWidth="1"/>
    <col min="5125" max="5125" width="15.42578125" style="206" bestFit="1" customWidth="1"/>
    <col min="5126" max="5126" width="2.5703125" style="206" customWidth="1"/>
    <col min="5127" max="5127" width="16" style="206" customWidth="1"/>
    <col min="5128" max="5128" width="11" style="206" customWidth="1"/>
    <col min="5129" max="5129" width="16.140625" style="206" customWidth="1"/>
    <col min="5130" max="5372" width="32.7109375" style="206"/>
    <col min="5373" max="5373" width="0" style="206" hidden="1" customWidth="1"/>
    <col min="5374" max="5374" width="16.140625" style="206" customWidth="1"/>
    <col min="5375" max="5375" width="15.42578125" style="206" bestFit="1" customWidth="1"/>
    <col min="5376" max="5379" width="13" style="206" bestFit="1" customWidth="1"/>
    <col min="5380" max="5380" width="13.140625" style="206" customWidth="1"/>
    <col min="5381" max="5381" width="15.42578125" style="206" bestFit="1" customWidth="1"/>
    <col min="5382" max="5382" width="2.5703125" style="206" customWidth="1"/>
    <col min="5383" max="5383" width="16" style="206" customWidth="1"/>
    <col min="5384" max="5384" width="11" style="206" customWidth="1"/>
    <col min="5385" max="5385" width="16.140625" style="206" customWidth="1"/>
    <col min="5386" max="5628" width="32.7109375" style="206"/>
    <col min="5629" max="5629" width="0" style="206" hidden="1" customWidth="1"/>
    <col min="5630" max="5630" width="16.140625" style="206" customWidth="1"/>
    <col min="5631" max="5631" width="15.42578125" style="206" bestFit="1" customWidth="1"/>
    <col min="5632" max="5635" width="13" style="206" bestFit="1" customWidth="1"/>
    <col min="5636" max="5636" width="13.140625" style="206" customWidth="1"/>
    <col min="5637" max="5637" width="15.42578125" style="206" bestFit="1" customWidth="1"/>
    <col min="5638" max="5638" width="2.5703125" style="206" customWidth="1"/>
    <col min="5639" max="5639" width="16" style="206" customWidth="1"/>
    <col min="5640" max="5640" width="11" style="206" customWidth="1"/>
    <col min="5641" max="5641" width="16.140625" style="206" customWidth="1"/>
    <col min="5642" max="5884" width="32.7109375" style="206"/>
    <col min="5885" max="5885" width="0" style="206" hidden="1" customWidth="1"/>
    <col min="5886" max="5886" width="16.140625" style="206" customWidth="1"/>
    <col min="5887" max="5887" width="15.42578125" style="206" bestFit="1" customWidth="1"/>
    <col min="5888" max="5891" width="13" style="206" bestFit="1" customWidth="1"/>
    <col min="5892" max="5892" width="13.140625" style="206" customWidth="1"/>
    <col min="5893" max="5893" width="15.42578125" style="206" bestFit="1" customWidth="1"/>
    <col min="5894" max="5894" width="2.5703125" style="206" customWidth="1"/>
    <col min="5895" max="5895" width="16" style="206" customWidth="1"/>
    <col min="5896" max="5896" width="11" style="206" customWidth="1"/>
    <col min="5897" max="5897" width="16.140625" style="206" customWidth="1"/>
    <col min="5898" max="6140" width="32.7109375" style="206"/>
    <col min="6141" max="6141" width="0" style="206" hidden="1" customWidth="1"/>
    <col min="6142" max="6142" width="16.140625" style="206" customWidth="1"/>
    <col min="6143" max="6143" width="15.42578125" style="206" bestFit="1" customWidth="1"/>
    <col min="6144" max="6147" width="13" style="206" bestFit="1" customWidth="1"/>
    <col min="6148" max="6148" width="13.140625" style="206" customWidth="1"/>
    <col min="6149" max="6149" width="15.42578125" style="206" bestFit="1" customWidth="1"/>
    <col min="6150" max="6150" width="2.5703125" style="206" customWidth="1"/>
    <col min="6151" max="6151" width="16" style="206" customWidth="1"/>
    <col min="6152" max="6152" width="11" style="206" customWidth="1"/>
    <col min="6153" max="6153" width="16.140625" style="206" customWidth="1"/>
    <col min="6154" max="6396" width="32.7109375" style="206"/>
    <col min="6397" max="6397" width="0" style="206" hidden="1" customWidth="1"/>
    <col min="6398" max="6398" width="16.140625" style="206" customWidth="1"/>
    <col min="6399" max="6399" width="15.42578125" style="206" bestFit="1" customWidth="1"/>
    <col min="6400" max="6403" width="13" style="206" bestFit="1" customWidth="1"/>
    <col min="6404" max="6404" width="13.140625" style="206" customWidth="1"/>
    <col min="6405" max="6405" width="15.42578125" style="206" bestFit="1" customWidth="1"/>
    <col min="6406" max="6406" width="2.5703125" style="206" customWidth="1"/>
    <col min="6407" max="6407" width="16" style="206" customWidth="1"/>
    <col min="6408" max="6408" width="11" style="206" customWidth="1"/>
    <col min="6409" max="6409" width="16.140625" style="206" customWidth="1"/>
    <col min="6410" max="6652" width="32.7109375" style="206"/>
    <col min="6653" max="6653" width="0" style="206" hidden="1" customWidth="1"/>
    <col min="6654" max="6654" width="16.140625" style="206" customWidth="1"/>
    <col min="6655" max="6655" width="15.42578125" style="206" bestFit="1" customWidth="1"/>
    <col min="6656" max="6659" width="13" style="206" bestFit="1" customWidth="1"/>
    <col min="6660" max="6660" width="13.140625" style="206" customWidth="1"/>
    <col min="6661" max="6661" width="15.42578125" style="206" bestFit="1" customWidth="1"/>
    <col min="6662" max="6662" width="2.5703125" style="206" customWidth="1"/>
    <col min="6663" max="6663" width="16" style="206" customWidth="1"/>
    <col min="6664" max="6664" width="11" style="206" customWidth="1"/>
    <col min="6665" max="6665" width="16.140625" style="206" customWidth="1"/>
    <col min="6666" max="6908" width="32.7109375" style="206"/>
    <col min="6909" max="6909" width="0" style="206" hidden="1" customWidth="1"/>
    <col min="6910" max="6910" width="16.140625" style="206" customWidth="1"/>
    <col min="6911" max="6911" width="15.42578125" style="206" bestFit="1" customWidth="1"/>
    <col min="6912" max="6915" width="13" style="206" bestFit="1" customWidth="1"/>
    <col min="6916" max="6916" width="13.140625" style="206" customWidth="1"/>
    <col min="6917" max="6917" width="15.42578125" style="206" bestFit="1" customWidth="1"/>
    <col min="6918" max="6918" width="2.5703125" style="206" customWidth="1"/>
    <col min="6919" max="6919" width="16" style="206" customWidth="1"/>
    <col min="6920" max="6920" width="11" style="206" customWidth="1"/>
    <col min="6921" max="6921" width="16.140625" style="206" customWidth="1"/>
    <col min="6922" max="7164" width="32.7109375" style="206"/>
    <col min="7165" max="7165" width="0" style="206" hidden="1" customWidth="1"/>
    <col min="7166" max="7166" width="16.140625" style="206" customWidth="1"/>
    <col min="7167" max="7167" width="15.42578125" style="206" bestFit="1" customWidth="1"/>
    <col min="7168" max="7171" width="13" style="206" bestFit="1" customWidth="1"/>
    <col min="7172" max="7172" width="13.140625" style="206" customWidth="1"/>
    <col min="7173" max="7173" width="15.42578125" style="206" bestFit="1" customWidth="1"/>
    <col min="7174" max="7174" width="2.5703125" style="206" customWidth="1"/>
    <col min="7175" max="7175" width="16" style="206" customWidth="1"/>
    <col min="7176" max="7176" width="11" style="206" customWidth="1"/>
    <col min="7177" max="7177" width="16.140625" style="206" customWidth="1"/>
    <col min="7178" max="7420" width="32.7109375" style="206"/>
    <col min="7421" max="7421" width="0" style="206" hidden="1" customWidth="1"/>
    <col min="7422" max="7422" width="16.140625" style="206" customWidth="1"/>
    <col min="7423" max="7423" width="15.42578125" style="206" bestFit="1" customWidth="1"/>
    <col min="7424" max="7427" width="13" style="206" bestFit="1" customWidth="1"/>
    <col min="7428" max="7428" width="13.140625" style="206" customWidth="1"/>
    <col min="7429" max="7429" width="15.42578125" style="206" bestFit="1" customWidth="1"/>
    <col min="7430" max="7430" width="2.5703125" style="206" customWidth="1"/>
    <col min="7431" max="7431" width="16" style="206" customWidth="1"/>
    <col min="7432" max="7432" width="11" style="206" customWidth="1"/>
    <col min="7433" max="7433" width="16.140625" style="206" customWidth="1"/>
    <col min="7434" max="7676" width="32.7109375" style="206"/>
    <col min="7677" max="7677" width="0" style="206" hidden="1" customWidth="1"/>
    <col min="7678" max="7678" width="16.140625" style="206" customWidth="1"/>
    <col min="7679" max="7679" width="15.42578125" style="206" bestFit="1" customWidth="1"/>
    <col min="7680" max="7683" width="13" style="206" bestFit="1" customWidth="1"/>
    <col min="7684" max="7684" width="13.140625" style="206" customWidth="1"/>
    <col min="7685" max="7685" width="15.42578125" style="206" bestFit="1" customWidth="1"/>
    <col min="7686" max="7686" width="2.5703125" style="206" customWidth="1"/>
    <col min="7687" max="7687" width="16" style="206" customWidth="1"/>
    <col min="7688" max="7688" width="11" style="206" customWidth="1"/>
    <col min="7689" max="7689" width="16.140625" style="206" customWidth="1"/>
    <col min="7690" max="7932" width="32.7109375" style="206"/>
    <col min="7933" max="7933" width="0" style="206" hidden="1" customWidth="1"/>
    <col min="7934" max="7934" width="16.140625" style="206" customWidth="1"/>
    <col min="7935" max="7935" width="15.42578125" style="206" bestFit="1" customWidth="1"/>
    <col min="7936" max="7939" width="13" style="206" bestFit="1" customWidth="1"/>
    <col min="7940" max="7940" width="13.140625" style="206" customWidth="1"/>
    <col min="7941" max="7941" width="15.42578125" style="206" bestFit="1" customWidth="1"/>
    <col min="7942" max="7942" width="2.5703125" style="206" customWidth="1"/>
    <col min="7943" max="7943" width="16" style="206" customWidth="1"/>
    <col min="7944" max="7944" width="11" style="206" customWidth="1"/>
    <col min="7945" max="7945" width="16.140625" style="206" customWidth="1"/>
    <col min="7946" max="8188" width="32.7109375" style="206"/>
    <col min="8189" max="8189" width="0" style="206" hidden="1" customWidth="1"/>
    <col min="8190" max="8190" width="16.140625" style="206" customWidth="1"/>
    <col min="8191" max="8191" width="15.42578125" style="206" bestFit="1" customWidth="1"/>
    <col min="8192" max="8195" width="13" style="206" bestFit="1" customWidth="1"/>
    <col min="8196" max="8196" width="13.140625" style="206" customWidth="1"/>
    <col min="8197" max="8197" width="15.42578125" style="206" bestFit="1" customWidth="1"/>
    <col min="8198" max="8198" width="2.5703125" style="206" customWidth="1"/>
    <col min="8199" max="8199" width="16" style="206" customWidth="1"/>
    <col min="8200" max="8200" width="11" style="206" customWidth="1"/>
    <col min="8201" max="8201" width="16.140625" style="206" customWidth="1"/>
    <col min="8202" max="8444" width="32.7109375" style="206"/>
    <col min="8445" max="8445" width="0" style="206" hidden="1" customWidth="1"/>
    <col min="8446" max="8446" width="16.140625" style="206" customWidth="1"/>
    <col min="8447" max="8447" width="15.42578125" style="206" bestFit="1" customWidth="1"/>
    <col min="8448" max="8451" width="13" style="206" bestFit="1" customWidth="1"/>
    <col min="8452" max="8452" width="13.140625" style="206" customWidth="1"/>
    <col min="8453" max="8453" width="15.42578125" style="206" bestFit="1" customWidth="1"/>
    <col min="8454" max="8454" width="2.5703125" style="206" customWidth="1"/>
    <col min="8455" max="8455" width="16" style="206" customWidth="1"/>
    <col min="8456" max="8456" width="11" style="206" customWidth="1"/>
    <col min="8457" max="8457" width="16.140625" style="206" customWidth="1"/>
    <col min="8458" max="8700" width="32.7109375" style="206"/>
    <col min="8701" max="8701" width="0" style="206" hidden="1" customWidth="1"/>
    <col min="8702" max="8702" width="16.140625" style="206" customWidth="1"/>
    <col min="8703" max="8703" width="15.42578125" style="206" bestFit="1" customWidth="1"/>
    <col min="8704" max="8707" width="13" style="206" bestFit="1" customWidth="1"/>
    <col min="8708" max="8708" width="13.140625" style="206" customWidth="1"/>
    <col min="8709" max="8709" width="15.42578125" style="206" bestFit="1" customWidth="1"/>
    <col min="8710" max="8710" width="2.5703125" style="206" customWidth="1"/>
    <col min="8711" max="8711" width="16" style="206" customWidth="1"/>
    <col min="8712" max="8712" width="11" style="206" customWidth="1"/>
    <col min="8713" max="8713" width="16.140625" style="206" customWidth="1"/>
    <col min="8714" max="8956" width="32.7109375" style="206"/>
    <col min="8957" max="8957" width="0" style="206" hidden="1" customWidth="1"/>
    <col min="8958" max="8958" width="16.140625" style="206" customWidth="1"/>
    <col min="8959" max="8959" width="15.42578125" style="206" bestFit="1" customWidth="1"/>
    <col min="8960" max="8963" width="13" style="206" bestFit="1" customWidth="1"/>
    <col min="8964" max="8964" width="13.140625" style="206" customWidth="1"/>
    <col min="8965" max="8965" width="15.42578125" style="206" bestFit="1" customWidth="1"/>
    <col min="8966" max="8966" width="2.5703125" style="206" customWidth="1"/>
    <col min="8967" max="8967" width="16" style="206" customWidth="1"/>
    <col min="8968" max="8968" width="11" style="206" customWidth="1"/>
    <col min="8969" max="8969" width="16.140625" style="206" customWidth="1"/>
    <col min="8970" max="9212" width="32.7109375" style="206"/>
    <col min="9213" max="9213" width="0" style="206" hidden="1" customWidth="1"/>
    <col min="9214" max="9214" width="16.140625" style="206" customWidth="1"/>
    <col min="9215" max="9215" width="15.42578125" style="206" bestFit="1" customWidth="1"/>
    <col min="9216" max="9219" width="13" style="206" bestFit="1" customWidth="1"/>
    <col min="9220" max="9220" width="13.140625" style="206" customWidth="1"/>
    <col min="9221" max="9221" width="15.42578125" style="206" bestFit="1" customWidth="1"/>
    <col min="9222" max="9222" width="2.5703125" style="206" customWidth="1"/>
    <col min="9223" max="9223" width="16" style="206" customWidth="1"/>
    <col min="9224" max="9224" width="11" style="206" customWidth="1"/>
    <col min="9225" max="9225" width="16.140625" style="206" customWidth="1"/>
    <col min="9226" max="9468" width="32.7109375" style="206"/>
    <col min="9469" max="9469" width="0" style="206" hidden="1" customWidth="1"/>
    <col min="9470" max="9470" width="16.140625" style="206" customWidth="1"/>
    <col min="9471" max="9471" width="15.42578125" style="206" bestFit="1" customWidth="1"/>
    <col min="9472" max="9475" width="13" style="206" bestFit="1" customWidth="1"/>
    <col min="9476" max="9476" width="13.140625" style="206" customWidth="1"/>
    <col min="9477" max="9477" width="15.42578125" style="206" bestFit="1" customWidth="1"/>
    <col min="9478" max="9478" width="2.5703125" style="206" customWidth="1"/>
    <col min="9479" max="9479" width="16" style="206" customWidth="1"/>
    <col min="9480" max="9480" width="11" style="206" customWidth="1"/>
    <col min="9481" max="9481" width="16.140625" style="206" customWidth="1"/>
    <col min="9482" max="9724" width="32.7109375" style="206"/>
    <col min="9725" max="9725" width="0" style="206" hidden="1" customWidth="1"/>
    <col min="9726" max="9726" width="16.140625" style="206" customWidth="1"/>
    <col min="9727" max="9727" width="15.42578125" style="206" bestFit="1" customWidth="1"/>
    <col min="9728" max="9731" width="13" style="206" bestFit="1" customWidth="1"/>
    <col min="9732" max="9732" width="13.140625" style="206" customWidth="1"/>
    <col min="9733" max="9733" width="15.42578125" style="206" bestFit="1" customWidth="1"/>
    <col min="9734" max="9734" width="2.5703125" style="206" customWidth="1"/>
    <col min="9735" max="9735" width="16" style="206" customWidth="1"/>
    <col min="9736" max="9736" width="11" style="206" customWidth="1"/>
    <col min="9737" max="9737" width="16.140625" style="206" customWidth="1"/>
    <col min="9738" max="9980" width="32.7109375" style="206"/>
    <col min="9981" max="9981" width="0" style="206" hidden="1" customWidth="1"/>
    <col min="9982" max="9982" width="16.140625" style="206" customWidth="1"/>
    <col min="9983" max="9983" width="15.42578125" style="206" bestFit="1" customWidth="1"/>
    <col min="9984" max="9987" width="13" style="206" bestFit="1" customWidth="1"/>
    <col min="9988" max="9988" width="13.140625" style="206" customWidth="1"/>
    <col min="9989" max="9989" width="15.42578125" style="206" bestFit="1" customWidth="1"/>
    <col min="9990" max="9990" width="2.5703125" style="206" customWidth="1"/>
    <col min="9991" max="9991" width="16" style="206" customWidth="1"/>
    <col min="9992" max="9992" width="11" style="206" customWidth="1"/>
    <col min="9993" max="9993" width="16.140625" style="206" customWidth="1"/>
    <col min="9994" max="10236" width="32.7109375" style="206"/>
    <col min="10237" max="10237" width="0" style="206" hidden="1" customWidth="1"/>
    <col min="10238" max="10238" width="16.140625" style="206" customWidth="1"/>
    <col min="10239" max="10239" width="15.42578125" style="206" bestFit="1" customWidth="1"/>
    <col min="10240" max="10243" width="13" style="206" bestFit="1" customWidth="1"/>
    <col min="10244" max="10244" width="13.140625" style="206" customWidth="1"/>
    <col min="10245" max="10245" width="15.42578125" style="206" bestFit="1" customWidth="1"/>
    <col min="10246" max="10246" width="2.5703125" style="206" customWidth="1"/>
    <col min="10247" max="10247" width="16" style="206" customWidth="1"/>
    <col min="10248" max="10248" width="11" style="206" customWidth="1"/>
    <col min="10249" max="10249" width="16.140625" style="206" customWidth="1"/>
    <col min="10250" max="10492" width="32.7109375" style="206"/>
    <col min="10493" max="10493" width="0" style="206" hidden="1" customWidth="1"/>
    <col min="10494" max="10494" width="16.140625" style="206" customWidth="1"/>
    <col min="10495" max="10495" width="15.42578125" style="206" bestFit="1" customWidth="1"/>
    <col min="10496" max="10499" width="13" style="206" bestFit="1" customWidth="1"/>
    <col min="10500" max="10500" width="13.140625" style="206" customWidth="1"/>
    <col min="10501" max="10501" width="15.42578125" style="206" bestFit="1" customWidth="1"/>
    <col min="10502" max="10502" width="2.5703125" style="206" customWidth="1"/>
    <col min="10503" max="10503" width="16" style="206" customWidth="1"/>
    <col min="10504" max="10504" width="11" style="206" customWidth="1"/>
    <col min="10505" max="10505" width="16.140625" style="206" customWidth="1"/>
    <col min="10506" max="10748" width="32.7109375" style="206"/>
    <col min="10749" max="10749" width="0" style="206" hidden="1" customWidth="1"/>
    <col min="10750" max="10750" width="16.140625" style="206" customWidth="1"/>
    <col min="10751" max="10751" width="15.42578125" style="206" bestFit="1" customWidth="1"/>
    <col min="10752" max="10755" width="13" style="206" bestFit="1" customWidth="1"/>
    <col min="10756" max="10756" width="13.140625" style="206" customWidth="1"/>
    <col min="10757" max="10757" width="15.42578125" style="206" bestFit="1" customWidth="1"/>
    <col min="10758" max="10758" width="2.5703125" style="206" customWidth="1"/>
    <col min="10759" max="10759" width="16" style="206" customWidth="1"/>
    <col min="10760" max="10760" width="11" style="206" customWidth="1"/>
    <col min="10761" max="10761" width="16.140625" style="206" customWidth="1"/>
    <col min="10762" max="11004" width="32.7109375" style="206"/>
    <col min="11005" max="11005" width="0" style="206" hidden="1" customWidth="1"/>
    <col min="11006" max="11006" width="16.140625" style="206" customWidth="1"/>
    <col min="11007" max="11007" width="15.42578125" style="206" bestFit="1" customWidth="1"/>
    <col min="11008" max="11011" width="13" style="206" bestFit="1" customWidth="1"/>
    <col min="11012" max="11012" width="13.140625" style="206" customWidth="1"/>
    <col min="11013" max="11013" width="15.42578125" style="206" bestFit="1" customWidth="1"/>
    <col min="11014" max="11014" width="2.5703125" style="206" customWidth="1"/>
    <col min="11015" max="11015" width="16" style="206" customWidth="1"/>
    <col min="11016" max="11016" width="11" style="206" customWidth="1"/>
    <col min="11017" max="11017" width="16.140625" style="206" customWidth="1"/>
    <col min="11018" max="11260" width="32.7109375" style="206"/>
    <col min="11261" max="11261" width="0" style="206" hidden="1" customWidth="1"/>
    <col min="11262" max="11262" width="16.140625" style="206" customWidth="1"/>
    <col min="11263" max="11263" width="15.42578125" style="206" bestFit="1" customWidth="1"/>
    <col min="11264" max="11267" width="13" style="206" bestFit="1" customWidth="1"/>
    <col min="11268" max="11268" width="13.140625" style="206" customWidth="1"/>
    <col min="11269" max="11269" width="15.42578125" style="206" bestFit="1" customWidth="1"/>
    <col min="11270" max="11270" width="2.5703125" style="206" customWidth="1"/>
    <col min="11271" max="11271" width="16" style="206" customWidth="1"/>
    <col min="11272" max="11272" width="11" style="206" customWidth="1"/>
    <col min="11273" max="11273" width="16.140625" style="206" customWidth="1"/>
    <col min="11274" max="11516" width="32.7109375" style="206"/>
    <col min="11517" max="11517" width="0" style="206" hidden="1" customWidth="1"/>
    <col min="11518" max="11518" width="16.140625" style="206" customWidth="1"/>
    <col min="11519" max="11519" width="15.42578125" style="206" bestFit="1" customWidth="1"/>
    <col min="11520" max="11523" width="13" style="206" bestFit="1" customWidth="1"/>
    <col min="11524" max="11524" width="13.140625" style="206" customWidth="1"/>
    <col min="11525" max="11525" width="15.42578125" style="206" bestFit="1" customWidth="1"/>
    <col min="11526" max="11526" width="2.5703125" style="206" customWidth="1"/>
    <col min="11527" max="11527" width="16" style="206" customWidth="1"/>
    <col min="11528" max="11528" width="11" style="206" customWidth="1"/>
    <col min="11529" max="11529" width="16.140625" style="206" customWidth="1"/>
    <col min="11530" max="11772" width="32.7109375" style="206"/>
    <col min="11773" max="11773" width="0" style="206" hidden="1" customWidth="1"/>
    <col min="11774" max="11774" width="16.140625" style="206" customWidth="1"/>
    <col min="11775" max="11775" width="15.42578125" style="206" bestFit="1" customWidth="1"/>
    <col min="11776" max="11779" width="13" style="206" bestFit="1" customWidth="1"/>
    <col min="11780" max="11780" width="13.140625" style="206" customWidth="1"/>
    <col min="11781" max="11781" width="15.42578125" style="206" bestFit="1" customWidth="1"/>
    <col min="11782" max="11782" width="2.5703125" style="206" customWidth="1"/>
    <col min="11783" max="11783" width="16" style="206" customWidth="1"/>
    <col min="11784" max="11784" width="11" style="206" customWidth="1"/>
    <col min="11785" max="11785" width="16.140625" style="206" customWidth="1"/>
    <col min="11786" max="12028" width="32.7109375" style="206"/>
    <col min="12029" max="12029" width="0" style="206" hidden="1" customWidth="1"/>
    <col min="12030" max="12030" width="16.140625" style="206" customWidth="1"/>
    <col min="12031" max="12031" width="15.42578125" style="206" bestFit="1" customWidth="1"/>
    <col min="12032" max="12035" width="13" style="206" bestFit="1" customWidth="1"/>
    <col min="12036" max="12036" width="13.140625" style="206" customWidth="1"/>
    <col min="12037" max="12037" width="15.42578125" style="206" bestFit="1" customWidth="1"/>
    <col min="12038" max="12038" width="2.5703125" style="206" customWidth="1"/>
    <col min="12039" max="12039" width="16" style="206" customWidth="1"/>
    <col min="12040" max="12040" width="11" style="206" customWidth="1"/>
    <col min="12041" max="12041" width="16.140625" style="206" customWidth="1"/>
    <col min="12042" max="12284" width="32.7109375" style="206"/>
    <col min="12285" max="12285" width="0" style="206" hidden="1" customWidth="1"/>
    <col min="12286" max="12286" width="16.140625" style="206" customWidth="1"/>
    <col min="12287" max="12287" width="15.42578125" style="206" bestFit="1" customWidth="1"/>
    <col min="12288" max="12291" width="13" style="206" bestFit="1" customWidth="1"/>
    <col min="12292" max="12292" width="13.140625" style="206" customWidth="1"/>
    <col min="12293" max="12293" width="15.42578125" style="206" bestFit="1" customWidth="1"/>
    <col min="12294" max="12294" width="2.5703125" style="206" customWidth="1"/>
    <col min="12295" max="12295" width="16" style="206" customWidth="1"/>
    <col min="12296" max="12296" width="11" style="206" customWidth="1"/>
    <col min="12297" max="12297" width="16.140625" style="206" customWidth="1"/>
    <col min="12298" max="12540" width="32.7109375" style="206"/>
    <col min="12541" max="12541" width="0" style="206" hidden="1" customWidth="1"/>
    <col min="12542" max="12542" width="16.140625" style="206" customWidth="1"/>
    <col min="12543" max="12543" width="15.42578125" style="206" bestFit="1" customWidth="1"/>
    <col min="12544" max="12547" width="13" style="206" bestFit="1" customWidth="1"/>
    <col min="12548" max="12548" width="13.140625" style="206" customWidth="1"/>
    <col min="12549" max="12549" width="15.42578125" style="206" bestFit="1" customWidth="1"/>
    <col min="12550" max="12550" width="2.5703125" style="206" customWidth="1"/>
    <col min="12551" max="12551" width="16" style="206" customWidth="1"/>
    <col min="12552" max="12552" width="11" style="206" customWidth="1"/>
    <col min="12553" max="12553" width="16.140625" style="206" customWidth="1"/>
    <col min="12554" max="12796" width="32.7109375" style="206"/>
    <col min="12797" max="12797" width="0" style="206" hidden="1" customWidth="1"/>
    <col min="12798" max="12798" width="16.140625" style="206" customWidth="1"/>
    <col min="12799" max="12799" width="15.42578125" style="206" bestFit="1" customWidth="1"/>
    <col min="12800" max="12803" width="13" style="206" bestFit="1" customWidth="1"/>
    <col min="12804" max="12804" width="13.140625" style="206" customWidth="1"/>
    <col min="12805" max="12805" width="15.42578125" style="206" bestFit="1" customWidth="1"/>
    <col min="12806" max="12806" width="2.5703125" style="206" customWidth="1"/>
    <col min="12807" max="12807" width="16" style="206" customWidth="1"/>
    <col min="12808" max="12808" width="11" style="206" customWidth="1"/>
    <col min="12809" max="12809" width="16.140625" style="206" customWidth="1"/>
    <col min="12810" max="13052" width="32.7109375" style="206"/>
    <col min="13053" max="13053" width="0" style="206" hidden="1" customWidth="1"/>
    <col min="13054" max="13054" width="16.140625" style="206" customWidth="1"/>
    <col min="13055" max="13055" width="15.42578125" style="206" bestFit="1" customWidth="1"/>
    <col min="13056" max="13059" width="13" style="206" bestFit="1" customWidth="1"/>
    <col min="13060" max="13060" width="13.140625" style="206" customWidth="1"/>
    <col min="13061" max="13061" width="15.42578125" style="206" bestFit="1" customWidth="1"/>
    <col min="13062" max="13062" width="2.5703125" style="206" customWidth="1"/>
    <col min="13063" max="13063" width="16" style="206" customWidth="1"/>
    <col min="13064" max="13064" width="11" style="206" customWidth="1"/>
    <col min="13065" max="13065" width="16.140625" style="206" customWidth="1"/>
    <col min="13066" max="13308" width="32.7109375" style="206"/>
    <col min="13309" max="13309" width="0" style="206" hidden="1" customWidth="1"/>
    <col min="13310" max="13310" width="16.140625" style="206" customWidth="1"/>
    <col min="13311" max="13311" width="15.42578125" style="206" bestFit="1" customWidth="1"/>
    <col min="13312" max="13315" width="13" style="206" bestFit="1" customWidth="1"/>
    <col min="13316" max="13316" width="13.140625" style="206" customWidth="1"/>
    <col min="13317" max="13317" width="15.42578125" style="206" bestFit="1" customWidth="1"/>
    <col min="13318" max="13318" width="2.5703125" style="206" customWidth="1"/>
    <col min="13319" max="13319" width="16" style="206" customWidth="1"/>
    <col min="13320" max="13320" width="11" style="206" customWidth="1"/>
    <col min="13321" max="13321" width="16.140625" style="206" customWidth="1"/>
    <col min="13322" max="13564" width="32.7109375" style="206"/>
    <col min="13565" max="13565" width="0" style="206" hidden="1" customWidth="1"/>
    <col min="13566" max="13566" width="16.140625" style="206" customWidth="1"/>
    <col min="13567" max="13567" width="15.42578125" style="206" bestFit="1" customWidth="1"/>
    <col min="13568" max="13571" width="13" style="206" bestFit="1" customWidth="1"/>
    <col min="13572" max="13572" width="13.140625" style="206" customWidth="1"/>
    <col min="13573" max="13573" width="15.42578125" style="206" bestFit="1" customWidth="1"/>
    <col min="13574" max="13574" width="2.5703125" style="206" customWidth="1"/>
    <col min="13575" max="13575" width="16" style="206" customWidth="1"/>
    <col min="13576" max="13576" width="11" style="206" customWidth="1"/>
    <col min="13577" max="13577" width="16.140625" style="206" customWidth="1"/>
    <col min="13578" max="13820" width="32.7109375" style="206"/>
    <col min="13821" max="13821" width="0" style="206" hidden="1" customWidth="1"/>
    <col min="13822" max="13822" width="16.140625" style="206" customWidth="1"/>
    <col min="13823" max="13823" width="15.42578125" style="206" bestFit="1" customWidth="1"/>
    <col min="13824" max="13827" width="13" style="206" bestFit="1" customWidth="1"/>
    <col min="13828" max="13828" width="13.140625" style="206" customWidth="1"/>
    <col min="13829" max="13829" width="15.42578125" style="206" bestFit="1" customWidth="1"/>
    <col min="13830" max="13830" width="2.5703125" style="206" customWidth="1"/>
    <col min="13831" max="13831" width="16" style="206" customWidth="1"/>
    <col min="13832" max="13832" width="11" style="206" customWidth="1"/>
    <col min="13833" max="13833" width="16.140625" style="206" customWidth="1"/>
    <col min="13834" max="14076" width="32.7109375" style="206"/>
    <col min="14077" max="14077" width="0" style="206" hidden="1" customWidth="1"/>
    <col min="14078" max="14078" width="16.140625" style="206" customWidth="1"/>
    <col min="14079" max="14079" width="15.42578125" style="206" bestFit="1" customWidth="1"/>
    <col min="14080" max="14083" width="13" style="206" bestFit="1" customWidth="1"/>
    <col min="14084" max="14084" width="13.140625" style="206" customWidth="1"/>
    <col min="14085" max="14085" width="15.42578125" style="206" bestFit="1" customWidth="1"/>
    <col min="14086" max="14086" width="2.5703125" style="206" customWidth="1"/>
    <col min="14087" max="14087" width="16" style="206" customWidth="1"/>
    <col min="14088" max="14088" width="11" style="206" customWidth="1"/>
    <col min="14089" max="14089" width="16.140625" style="206" customWidth="1"/>
    <col min="14090" max="14332" width="32.7109375" style="206"/>
    <col min="14333" max="14333" width="0" style="206" hidden="1" customWidth="1"/>
    <col min="14334" max="14334" width="16.140625" style="206" customWidth="1"/>
    <col min="14335" max="14335" width="15.42578125" style="206" bestFit="1" customWidth="1"/>
    <col min="14336" max="14339" width="13" style="206" bestFit="1" customWidth="1"/>
    <col min="14340" max="14340" width="13.140625" style="206" customWidth="1"/>
    <col min="14341" max="14341" width="15.42578125" style="206" bestFit="1" customWidth="1"/>
    <col min="14342" max="14342" width="2.5703125" style="206" customWidth="1"/>
    <col min="14343" max="14343" width="16" style="206" customWidth="1"/>
    <col min="14344" max="14344" width="11" style="206" customWidth="1"/>
    <col min="14345" max="14345" width="16.140625" style="206" customWidth="1"/>
    <col min="14346" max="14588" width="32.7109375" style="206"/>
    <col min="14589" max="14589" width="0" style="206" hidden="1" customWidth="1"/>
    <col min="14590" max="14590" width="16.140625" style="206" customWidth="1"/>
    <col min="14591" max="14591" width="15.42578125" style="206" bestFit="1" customWidth="1"/>
    <col min="14592" max="14595" width="13" style="206" bestFit="1" customWidth="1"/>
    <col min="14596" max="14596" width="13.140625" style="206" customWidth="1"/>
    <col min="14597" max="14597" width="15.42578125" style="206" bestFit="1" customWidth="1"/>
    <col min="14598" max="14598" width="2.5703125" style="206" customWidth="1"/>
    <col min="14599" max="14599" width="16" style="206" customWidth="1"/>
    <col min="14600" max="14600" width="11" style="206" customWidth="1"/>
    <col min="14601" max="14601" width="16.140625" style="206" customWidth="1"/>
    <col min="14602" max="14844" width="32.7109375" style="206"/>
    <col min="14845" max="14845" width="0" style="206" hidden="1" customWidth="1"/>
    <col min="14846" max="14846" width="16.140625" style="206" customWidth="1"/>
    <col min="14847" max="14847" width="15.42578125" style="206" bestFit="1" customWidth="1"/>
    <col min="14848" max="14851" width="13" style="206" bestFit="1" customWidth="1"/>
    <col min="14852" max="14852" width="13.140625" style="206" customWidth="1"/>
    <col min="14853" max="14853" width="15.42578125" style="206" bestFit="1" customWidth="1"/>
    <col min="14854" max="14854" width="2.5703125" style="206" customWidth="1"/>
    <col min="14855" max="14855" width="16" style="206" customWidth="1"/>
    <col min="14856" max="14856" width="11" style="206" customWidth="1"/>
    <col min="14857" max="14857" width="16.140625" style="206" customWidth="1"/>
    <col min="14858" max="15100" width="32.7109375" style="206"/>
    <col min="15101" max="15101" width="0" style="206" hidden="1" customWidth="1"/>
    <col min="15102" max="15102" width="16.140625" style="206" customWidth="1"/>
    <col min="15103" max="15103" width="15.42578125" style="206" bestFit="1" customWidth="1"/>
    <col min="15104" max="15107" width="13" style="206" bestFit="1" customWidth="1"/>
    <col min="15108" max="15108" width="13.140625" style="206" customWidth="1"/>
    <col min="15109" max="15109" width="15.42578125" style="206" bestFit="1" customWidth="1"/>
    <col min="15110" max="15110" width="2.5703125" style="206" customWidth="1"/>
    <col min="15111" max="15111" width="16" style="206" customWidth="1"/>
    <col min="15112" max="15112" width="11" style="206" customWidth="1"/>
    <col min="15113" max="15113" width="16.140625" style="206" customWidth="1"/>
    <col min="15114" max="15356" width="32.7109375" style="206"/>
    <col min="15357" max="15357" width="0" style="206" hidden="1" customWidth="1"/>
    <col min="15358" max="15358" width="16.140625" style="206" customWidth="1"/>
    <col min="15359" max="15359" width="15.42578125" style="206" bestFit="1" customWidth="1"/>
    <col min="15360" max="15363" width="13" style="206" bestFit="1" customWidth="1"/>
    <col min="15364" max="15364" width="13.140625" style="206" customWidth="1"/>
    <col min="15365" max="15365" width="15.42578125" style="206" bestFit="1" customWidth="1"/>
    <col min="15366" max="15366" width="2.5703125" style="206" customWidth="1"/>
    <col min="15367" max="15367" width="16" style="206" customWidth="1"/>
    <col min="15368" max="15368" width="11" style="206" customWidth="1"/>
    <col min="15369" max="15369" width="16.140625" style="206" customWidth="1"/>
    <col min="15370" max="15612" width="32.7109375" style="206"/>
    <col min="15613" max="15613" width="0" style="206" hidden="1" customWidth="1"/>
    <col min="15614" max="15614" width="16.140625" style="206" customWidth="1"/>
    <col min="15615" max="15615" width="15.42578125" style="206" bestFit="1" customWidth="1"/>
    <col min="15616" max="15619" width="13" style="206" bestFit="1" customWidth="1"/>
    <col min="15620" max="15620" width="13.140625" style="206" customWidth="1"/>
    <col min="15621" max="15621" width="15.42578125" style="206" bestFit="1" customWidth="1"/>
    <col min="15622" max="15622" width="2.5703125" style="206" customWidth="1"/>
    <col min="15623" max="15623" width="16" style="206" customWidth="1"/>
    <col min="15624" max="15624" width="11" style="206" customWidth="1"/>
    <col min="15625" max="15625" width="16.140625" style="206" customWidth="1"/>
    <col min="15626" max="15868" width="32.7109375" style="206"/>
    <col min="15869" max="15869" width="0" style="206" hidden="1" customWidth="1"/>
    <col min="15870" max="15870" width="16.140625" style="206" customWidth="1"/>
    <col min="15871" max="15871" width="15.42578125" style="206" bestFit="1" customWidth="1"/>
    <col min="15872" max="15875" width="13" style="206" bestFit="1" customWidth="1"/>
    <col min="15876" max="15876" width="13.140625" style="206" customWidth="1"/>
    <col min="15877" max="15877" width="15.42578125" style="206" bestFit="1" customWidth="1"/>
    <col min="15878" max="15878" width="2.5703125" style="206" customWidth="1"/>
    <col min="15879" max="15879" width="16" style="206" customWidth="1"/>
    <col min="15880" max="15880" width="11" style="206" customWidth="1"/>
    <col min="15881" max="15881" width="16.140625" style="206" customWidth="1"/>
    <col min="15882" max="16124" width="32.7109375" style="206"/>
    <col min="16125" max="16125" width="0" style="206" hidden="1" customWidth="1"/>
    <col min="16126" max="16126" width="16.140625" style="206" customWidth="1"/>
    <col min="16127" max="16127" width="15.42578125" style="206" bestFit="1" customWidth="1"/>
    <col min="16128" max="16131" width="13" style="206" bestFit="1" customWidth="1"/>
    <col min="16132" max="16132" width="13.140625" style="206" customWidth="1"/>
    <col min="16133" max="16133" width="15.42578125" style="206" bestFit="1" customWidth="1"/>
    <col min="16134" max="16134" width="2.5703125" style="206" customWidth="1"/>
    <col min="16135" max="16135" width="16" style="206" customWidth="1"/>
    <col min="16136" max="16136" width="11" style="206" customWidth="1"/>
    <col min="16137" max="16137" width="16.140625" style="206" customWidth="1"/>
    <col min="16138" max="16384" width="32.7109375" style="206"/>
  </cols>
  <sheetData>
    <row r="1" spans="1:13" ht="91.9" customHeight="1" thickTop="1" thickBot="1">
      <c r="A1" s="201" t="s">
        <v>257</v>
      </c>
      <c r="B1" s="202" t="s">
        <v>58</v>
      </c>
      <c r="C1" s="203" t="s">
        <v>447</v>
      </c>
      <c r="D1" s="203" t="s">
        <v>446</v>
      </c>
      <c r="E1" s="203" t="s">
        <v>448</v>
      </c>
      <c r="F1" s="203" t="s">
        <v>449</v>
      </c>
      <c r="G1" s="203" t="s">
        <v>450</v>
      </c>
      <c r="H1" s="203" t="s">
        <v>451</v>
      </c>
      <c r="I1" s="203" t="s">
        <v>452</v>
      </c>
      <c r="J1" s="204" t="s">
        <v>43</v>
      </c>
      <c r="K1" s="493" t="s">
        <v>410</v>
      </c>
      <c r="L1" s="540" t="s">
        <v>461</v>
      </c>
    </row>
    <row r="2" spans="1:13" ht="28.15" customHeight="1" thickTop="1" thickBot="1">
      <c r="A2" s="207" t="s">
        <v>264</v>
      </c>
      <c r="B2" s="208" t="s">
        <v>72</v>
      </c>
      <c r="C2" s="523">
        <v>250275</v>
      </c>
      <c r="D2" s="523">
        <v>44809.88</v>
      </c>
      <c r="E2" s="523">
        <v>80625.88</v>
      </c>
      <c r="F2" s="523">
        <v>22069</v>
      </c>
      <c r="G2" s="523">
        <v>71621</v>
      </c>
      <c r="H2" s="523">
        <v>52537</v>
      </c>
      <c r="I2" s="524">
        <v>10291.280000000001</v>
      </c>
      <c r="J2" s="525">
        <f>SUM(C2:I2)</f>
        <v>532229.04</v>
      </c>
      <c r="K2" s="538" t="s">
        <v>414</v>
      </c>
      <c r="L2" s="541">
        <f t="shared" ref="L2:L17" si="0">SUM(C2:G2)</f>
        <v>469400.76</v>
      </c>
      <c r="M2"/>
    </row>
    <row r="3" spans="1:13" ht="28.15" customHeight="1" thickTop="1" thickBot="1">
      <c r="A3" s="212" t="s">
        <v>264</v>
      </c>
      <c r="B3" s="213" t="s">
        <v>61</v>
      </c>
      <c r="C3" s="526">
        <v>50995.9</v>
      </c>
      <c r="D3" s="526">
        <v>189</v>
      </c>
      <c r="E3" s="526">
        <v>268.32</v>
      </c>
      <c r="F3" s="526">
        <v>8891.7999999999993</v>
      </c>
      <c r="G3" s="526">
        <v>2532.65</v>
      </c>
      <c r="H3" s="527">
        <v>19654</v>
      </c>
      <c r="I3" s="528">
        <v>8106</v>
      </c>
      <c r="J3" s="525">
        <f t="shared" ref="J3:J17" si="1">SUM(C3:I3)</f>
        <v>90637.670000000013</v>
      </c>
      <c r="K3" s="538" t="s">
        <v>414</v>
      </c>
      <c r="L3" s="541">
        <f t="shared" si="0"/>
        <v>62877.670000000006</v>
      </c>
      <c r="M3"/>
    </row>
    <row r="4" spans="1:13" ht="28.15" customHeight="1" thickTop="1" thickBot="1">
      <c r="A4" s="207" t="s">
        <v>264</v>
      </c>
      <c r="B4" s="217" t="s">
        <v>73</v>
      </c>
      <c r="C4" s="529">
        <v>13574</v>
      </c>
      <c r="D4" s="529">
        <v>274</v>
      </c>
      <c r="E4" s="529">
        <v>388</v>
      </c>
      <c r="F4" s="529">
        <v>11860</v>
      </c>
      <c r="G4" s="529">
        <v>168</v>
      </c>
      <c r="H4" s="529">
        <v>0</v>
      </c>
      <c r="I4" s="530">
        <v>15640</v>
      </c>
      <c r="J4" s="525">
        <f t="shared" si="1"/>
        <v>41904</v>
      </c>
      <c r="K4" s="538" t="s">
        <v>414</v>
      </c>
      <c r="L4" s="541">
        <f t="shared" si="0"/>
        <v>26264</v>
      </c>
      <c r="M4"/>
    </row>
    <row r="5" spans="1:13" ht="28.15" customHeight="1" thickTop="1" thickBot="1">
      <c r="A5" s="219" t="s">
        <v>264</v>
      </c>
      <c r="B5" s="213" t="s">
        <v>60</v>
      </c>
      <c r="C5" s="526">
        <v>552505</v>
      </c>
      <c r="D5" s="526">
        <v>395684</v>
      </c>
      <c r="E5" s="527">
        <v>361541</v>
      </c>
      <c r="F5" s="527">
        <v>50054</v>
      </c>
      <c r="G5" s="527">
        <v>141094.54999999999</v>
      </c>
      <c r="H5" s="527">
        <v>0</v>
      </c>
      <c r="I5" s="528">
        <v>3078</v>
      </c>
      <c r="J5" s="525">
        <f t="shared" si="1"/>
        <v>1503956.55</v>
      </c>
      <c r="K5" s="538" t="s">
        <v>414</v>
      </c>
      <c r="L5" s="541">
        <f t="shared" si="0"/>
        <v>1500878.55</v>
      </c>
      <c r="M5"/>
    </row>
    <row r="6" spans="1:13" ht="28.15" customHeight="1" thickTop="1" thickBot="1">
      <c r="A6" s="207" t="s">
        <v>264</v>
      </c>
      <c r="B6" s="217" t="s">
        <v>541</v>
      </c>
      <c r="C6" s="529">
        <v>1622</v>
      </c>
      <c r="D6" s="529">
        <v>882</v>
      </c>
      <c r="E6" s="529">
        <v>1250</v>
      </c>
      <c r="F6" s="529">
        <v>0</v>
      </c>
      <c r="G6" s="529">
        <v>417</v>
      </c>
      <c r="H6" s="529"/>
      <c r="I6" s="530"/>
      <c r="J6" s="525">
        <f t="shared" si="1"/>
        <v>4171</v>
      </c>
      <c r="K6" s="538" t="s">
        <v>458</v>
      </c>
      <c r="L6" s="541">
        <f t="shared" si="0"/>
        <v>4171</v>
      </c>
      <c r="M6"/>
    </row>
    <row r="7" spans="1:13" ht="28.15" customHeight="1" thickTop="1" thickBot="1">
      <c r="A7" s="219" t="s">
        <v>264</v>
      </c>
      <c r="B7" s="213" t="s">
        <v>169</v>
      </c>
      <c r="C7" s="526">
        <v>1018</v>
      </c>
      <c r="D7" s="526">
        <v>552</v>
      </c>
      <c r="E7" s="526">
        <v>784</v>
      </c>
      <c r="F7" s="526">
        <v>0</v>
      </c>
      <c r="G7" s="526">
        <v>272</v>
      </c>
      <c r="H7" s="526">
        <v>0</v>
      </c>
      <c r="I7" s="531">
        <v>24694</v>
      </c>
      <c r="J7" s="525">
        <f t="shared" si="1"/>
        <v>27320</v>
      </c>
      <c r="K7" s="538" t="s">
        <v>414</v>
      </c>
      <c r="L7" s="541">
        <f t="shared" si="0"/>
        <v>2626</v>
      </c>
      <c r="M7"/>
    </row>
    <row r="8" spans="1:13" ht="28.15" customHeight="1" thickTop="1" thickBot="1">
      <c r="A8" s="207" t="s">
        <v>264</v>
      </c>
      <c r="B8" s="217" t="s">
        <v>74</v>
      </c>
      <c r="C8" s="529">
        <v>196</v>
      </c>
      <c r="D8" s="529">
        <v>0</v>
      </c>
      <c r="E8" s="529">
        <v>48</v>
      </c>
      <c r="F8" s="529">
        <v>0</v>
      </c>
      <c r="G8" s="529">
        <v>51</v>
      </c>
      <c r="H8" s="529">
        <v>0</v>
      </c>
      <c r="I8" s="530"/>
      <c r="J8" s="525">
        <f t="shared" si="1"/>
        <v>295</v>
      </c>
      <c r="K8" s="538" t="s">
        <v>458</v>
      </c>
      <c r="L8" s="541">
        <f t="shared" si="0"/>
        <v>295</v>
      </c>
      <c r="M8"/>
    </row>
    <row r="9" spans="1:13" ht="28.15" customHeight="1" thickTop="1" thickBot="1">
      <c r="A9" s="219" t="s">
        <v>264</v>
      </c>
      <c r="B9" s="220" t="s">
        <v>71</v>
      </c>
      <c r="C9" s="526">
        <v>72997</v>
      </c>
      <c r="D9" s="526">
        <v>37373</v>
      </c>
      <c r="E9" s="526">
        <v>54813</v>
      </c>
      <c r="F9" s="526">
        <v>10794</v>
      </c>
      <c r="G9" s="526">
        <v>32122</v>
      </c>
      <c r="H9" s="526">
        <v>12477</v>
      </c>
      <c r="I9" s="531">
        <v>17902</v>
      </c>
      <c r="J9" s="525">
        <f t="shared" si="1"/>
        <v>238478</v>
      </c>
      <c r="K9" s="538" t="s">
        <v>414</v>
      </c>
      <c r="L9" s="541">
        <f t="shared" si="0"/>
        <v>208099</v>
      </c>
      <c r="M9"/>
    </row>
    <row r="10" spans="1:13" ht="28.15" customHeight="1" thickTop="1" thickBot="1">
      <c r="A10" s="207" t="s">
        <v>264</v>
      </c>
      <c r="B10" s="217" t="s">
        <v>65</v>
      </c>
      <c r="C10" s="529">
        <v>2470</v>
      </c>
      <c r="D10" s="529">
        <v>1400</v>
      </c>
      <c r="E10" s="529">
        <v>1987</v>
      </c>
      <c r="F10" s="529">
        <v>0</v>
      </c>
      <c r="G10" s="529">
        <v>638</v>
      </c>
      <c r="H10" s="529"/>
      <c r="I10" s="530">
        <v>59883</v>
      </c>
      <c r="J10" s="525">
        <f t="shared" si="1"/>
        <v>66378</v>
      </c>
      <c r="K10" s="538" t="s">
        <v>414</v>
      </c>
      <c r="L10" s="541">
        <f t="shared" si="0"/>
        <v>6495</v>
      </c>
      <c r="M10"/>
    </row>
    <row r="11" spans="1:13" ht="28.15" customHeight="1" thickTop="1" thickBot="1">
      <c r="A11" s="219" t="s">
        <v>264</v>
      </c>
      <c r="B11" s="213" t="s">
        <v>178</v>
      </c>
      <c r="C11" s="526">
        <v>691581.56</v>
      </c>
      <c r="D11" s="526">
        <v>127789</v>
      </c>
      <c r="E11" s="527">
        <v>78992</v>
      </c>
      <c r="F11" s="527">
        <v>87612</v>
      </c>
      <c r="G11" s="527">
        <v>260570</v>
      </c>
      <c r="H11" s="527">
        <v>225290</v>
      </c>
      <c r="I11" s="528">
        <v>90570</v>
      </c>
      <c r="J11" s="525">
        <f t="shared" si="1"/>
        <v>1562404.56</v>
      </c>
      <c r="K11" s="538" t="s">
        <v>414</v>
      </c>
      <c r="L11" s="541">
        <f t="shared" si="0"/>
        <v>1246544.56</v>
      </c>
      <c r="M11"/>
    </row>
    <row r="12" spans="1:13" ht="28.15" customHeight="1" thickTop="1" thickBot="1">
      <c r="A12" s="219" t="s">
        <v>264</v>
      </c>
      <c r="B12" s="217" t="s">
        <v>75</v>
      </c>
      <c r="C12" s="529">
        <v>331</v>
      </c>
      <c r="D12" s="529">
        <v>114</v>
      </c>
      <c r="E12" s="529">
        <v>162</v>
      </c>
      <c r="F12" s="529">
        <v>0</v>
      </c>
      <c r="G12" s="529">
        <v>88</v>
      </c>
      <c r="H12" s="529">
        <v>0</v>
      </c>
      <c r="I12" s="530">
        <v>8024</v>
      </c>
      <c r="J12" s="525">
        <f t="shared" si="1"/>
        <v>8719</v>
      </c>
      <c r="K12" s="538" t="s">
        <v>458</v>
      </c>
      <c r="L12" s="541">
        <f t="shared" si="0"/>
        <v>695</v>
      </c>
      <c r="M12"/>
    </row>
    <row r="13" spans="1:13" ht="28.15" customHeight="1" thickTop="1" thickBot="1">
      <c r="A13" s="207" t="s">
        <v>264</v>
      </c>
      <c r="B13" s="221" t="s">
        <v>59</v>
      </c>
      <c r="C13" s="526">
        <v>3493</v>
      </c>
      <c r="D13" s="526">
        <v>1995</v>
      </c>
      <c r="E13" s="526">
        <v>2831</v>
      </c>
      <c r="F13" s="526">
        <v>0</v>
      </c>
      <c r="G13" s="526">
        <v>914</v>
      </c>
      <c r="H13" s="526">
        <v>0</v>
      </c>
      <c r="I13" s="531">
        <v>84708</v>
      </c>
      <c r="J13" s="525">
        <f t="shared" si="1"/>
        <v>93941</v>
      </c>
      <c r="K13" s="538" t="s">
        <v>414</v>
      </c>
      <c r="L13" s="541">
        <f t="shared" si="0"/>
        <v>9233</v>
      </c>
      <c r="M13"/>
    </row>
    <row r="14" spans="1:13" ht="28.15" customHeight="1" thickTop="1" thickBot="1">
      <c r="A14" s="219" t="s">
        <v>264</v>
      </c>
      <c r="B14" s="217" t="s">
        <v>64</v>
      </c>
      <c r="C14" s="529">
        <v>334261.52</v>
      </c>
      <c r="D14" s="529">
        <v>198487.42</v>
      </c>
      <c r="E14" s="529">
        <v>313119.90000000002</v>
      </c>
      <c r="F14" s="529">
        <v>23584</v>
      </c>
      <c r="G14" s="529">
        <v>80387.679999999993</v>
      </c>
      <c r="H14" s="529">
        <v>104178</v>
      </c>
      <c r="I14" s="530">
        <v>0</v>
      </c>
      <c r="J14" s="525">
        <f t="shared" si="1"/>
        <v>1054018.52</v>
      </c>
      <c r="K14" s="538" t="s">
        <v>414</v>
      </c>
      <c r="L14" s="541">
        <f t="shared" si="0"/>
        <v>949840.52</v>
      </c>
      <c r="M14"/>
    </row>
    <row r="15" spans="1:13" ht="28.15" customHeight="1" thickTop="1" thickBot="1">
      <c r="A15" s="207" t="s">
        <v>264</v>
      </c>
      <c r="B15" s="221" t="s">
        <v>68</v>
      </c>
      <c r="C15" s="526">
        <v>388904</v>
      </c>
      <c r="D15" s="526">
        <v>228045</v>
      </c>
      <c r="E15" s="526">
        <v>11473</v>
      </c>
      <c r="F15" s="526">
        <v>57401</v>
      </c>
      <c r="G15" s="526">
        <v>648</v>
      </c>
      <c r="H15" s="526">
        <v>143220</v>
      </c>
      <c r="I15" s="531">
        <v>0</v>
      </c>
      <c r="J15" s="525">
        <f t="shared" si="1"/>
        <v>829691</v>
      </c>
      <c r="K15" s="538" t="s">
        <v>414</v>
      </c>
      <c r="L15" s="541">
        <f t="shared" si="0"/>
        <v>686471</v>
      </c>
      <c r="M15"/>
    </row>
    <row r="16" spans="1:13" ht="28.15" customHeight="1" thickTop="1" thickBot="1">
      <c r="A16" s="219" t="s">
        <v>264</v>
      </c>
      <c r="B16" s="217" t="s">
        <v>67</v>
      </c>
      <c r="C16" s="529">
        <v>820</v>
      </c>
      <c r="D16" s="529">
        <v>452</v>
      </c>
      <c r="E16" s="529">
        <v>640</v>
      </c>
      <c r="F16" s="529">
        <v>0</v>
      </c>
      <c r="G16" s="529">
        <v>219</v>
      </c>
      <c r="H16" s="529"/>
      <c r="I16" s="530">
        <v>19878</v>
      </c>
      <c r="J16" s="525">
        <f t="shared" si="1"/>
        <v>22009</v>
      </c>
      <c r="K16" s="538" t="s">
        <v>414</v>
      </c>
      <c r="L16" s="541">
        <f t="shared" si="0"/>
        <v>2131</v>
      </c>
      <c r="M16"/>
    </row>
    <row r="17" spans="1:13" ht="28.15" customHeight="1" thickTop="1" thickBot="1">
      <c r="A17" s="207" t="s">
        <v>264</v>
      </c>
      <c r="B17" s="494" t="s">
        <v>63</v>
      </c>
      <c r="C17" s="532">
        <v>385665</v>
      </c>
      <c r="D17" s="532">
        <v>352906</v>
      </c>
      <c r="E17" s="526">
        <v>651386</v>
      </c>
      <c r="F17" s="532">
        <v>65905</v>
      </c>
      <c r="G17" s="526">
        <v>72394.5</v>
      </c>
      <c r="H17" s="532">
        <v>81543</v>
      </c>
      <c r="I17" s="533">
        <v>3097</v>
      </c>
      <c r="J17" s="525">
        <f t="shared" si="1"/>
        <v>1612896.5</v>
      </c>
      <c r="K17" s="538" t="s">
        <v>414</v>
      </c>
      <c r="L17" s="541">
        <f t="shared" si="0"/>
        <v>1528256.5</v>
      </c>
      <c r="M17"/>
    </row>
    <row r="18" spans="1:13" ht="28.15" customHeight="1" thickTop="1" thickBot="1">
      <c r="A18" s="226"/>
      <c r="B18" s="227" t="s">
        <v>173</v>
      </c>
      <c r="C18" s="534">
        <f t="shared" ref="C18:I18" si="2">SUM(C2:C17)</f>
        <v>2750708.98</v>
      </c>
      <c r="D18" s="534">
        <f t="shared" si="2"/>
        <v>1390952.3</v>
      </c>
      <c r="E18" s="534">
        <f t="shared" si="2"/>
        <v>1560309.1</v>
      </c>
      <c r="F18" s="535">
        <f t="shared" si="2"/>
        <v>338170.8</v>
      </c>
      <c r="G18" s="535">
        <f t="shared" si="2"/>
        <v>664137.37999999989</v>
      </c>
      <c r="H18" s="534">
        <f t="shared" si="2"/>
        <v>638899</v>
      </c>
      <c r="I18" s="534">
        <f t="shared" si="2"/>
        <v>345871.28</v>
      </c>
      <c r="J18" s="536">
        <f>SUM(C18:I18)</f>
        <v>7689048.8400000008</v>
      </c>
      <c r="K18" s="539"/>
      <c r="L18" s="536">
        <f>SUM(L2:L17)</f>
        <v>6704278.5600000005</v>
      </c>
      <c r="M18"/>
    </row>
    <row r="19" spans="1:13" ht="28.15" customHeight="1" thickTop="1">
      <c r="B19" s="231"/>
      <c r="C19" s="232"/>
      <c r="D19" s="232"/>
      <c r="E19" s="232"/>
      <c r="F19" s="232"/>
      <c r="G19"/>
      <c r="H19"/>
      <c r="I19"/>
      <c r="J19"/>
      <c r="K19"/>
      <c r="L19"/>
      <c r="M19"/>
    </row>
    <row r="20" spans="1:13">
      <c r="A20"/>
      <c r="B20"/>
      <c r="C20"/>
      <c r="D20"/>
      <c r="E20"/>
      <c r="F20"/>
      <c r="G20"/>
      <c r="H20"/>
      <c r="I20"/>
      <c r="J20"/>
      <c r="K20"/>
      <c r="L20"/>
      <c r="M20"/>
    </row>
    <row r="21" spans="1:13" ht="28.15" customHeight="1">
      <c r="A21"/>
      <c r="B21"/>
      <c r="C21"/>
      <c r="D21"/>
      <c r="E21"/>
      <c r="F21"/>
      <c r="G21"/>
      <c r="H21"/>
      <c r="I21"/>
      <c r="J21"/>
      <c r="K21"/>
      <c r="L21"/>
    </row>
    <row r="22" spans="1:13">
      <c r="A22"/>
      <c r="B22"/>
      <c r="C22"/>
      <c r="D22"/>
      <c r="E22"/>
      <c r="F22"/>
      <c r="G22"/>
      <c r="H22"/>
      <c r="I22"/>
      <c r="J22"/>
      <c r="K22"/>
      <c r="L22"/>
    </row>
    <row r="23" spans="1:13">
      <c r="A23"/>
      <c r="B23"/>
      <c r="C23"/>
      <c r="D23"/>
      <c r="E23"/>
      <c r="F23"/>
      <c r="G23"/>
      <c r="H23"/>
      <c r="I23"/>
      <c r="J23"/>
      <c r="K23"/>
      <c r="L23"/>
    </row>
    <row r="24" spans="1:13">
      <c r="A24"/>
      <c r="B24"/>
      <c r="C24"/>
      <c r="D24"/>
      <c r="E24"/>
      <c r="F24"/>
      <c r="G24"/>
      <c r="H24"/>
      <c r="I24"/>
      <c r="J24"/>
      <c r="K24"/>
      <c r="L24"/>
    </row>
    <row r="25" spans="1:13">
      <c r="A25"/>
      <c r="B25"/>
      <c r="C25"/>
      <c r="D25"/>
      <c r="E25"/>
      <c r="F25"/>
      <c r="G25"/>
      <c r="H25"/>
      <c r="I25"/>
      <c r="J25"/>
      <c r="K25"/>
      <c r="L25"/>
    </row>
    <row r="26" spans="1:13">
      <c r="A26"/>
      <c r="B26"/>
      <c r="C26"/>
      <c r="D26"/>
      <c r="E26"/>
      <c r="F26"/>
      <c r="G26"/>
      <c r="H26"/>
      <c r="I26"/>
      <c r="J26"/>
      <c r="K26"/>
      <c r="L26"/>
    </row>
    <row r="27" spans="1:13">
      <c r="A27"/>
      <c r="B27"/>
      <c r="C27"/>
      <c r="D27"/>
      <c r="E27"/>
      <c r="F27"/>
      <c r="G27"/>
      <c r="H27"/>
      <c r="I27"/>
      <c r="J27"/>
      <c r="K27"/>
      <c r="L27"/>
    </row>
    <row r="28" spans="1:13">
      <c r="B28" s="234"/>
      <c r="C28" s="234"/>
      <c r="D28" s="234"/>
      <c r="E28" s="234"/>
      <c r="F28" s="234"/>
      <c r="G28" s="234"/>
      <c r="H28" s="234"/>
      <c r="I28" s="234"/>
      <c r="J28" s="234"/>
      <c r="K28" s="234"/>
    </row>
    <row r="29" spans="1:13">
      <c r="B29" s="234"/>
      <c r="C29" s="233"/>
      <c r="D29" s="233"/>
      <c r="E29" s="233"/>
      <c r="F29" s="233"/>
      <c r="G29" s="233"/>
      <c r="H29" s="233"/>
      <c r="I29" s="233"/>
      <c r="J29" s="233"/>
      <c r="K29" s="234"/>
    </row>
    <row r="30" spans="1:13">
      <c r="B30" s="205"/>
      <c r="C30" s="205"/>
      <c r="D30" s="205"/>
      <c r="E30" s="205"/>
      <c r="F30" s="205"/>
      <c r="G30" s="205"/>
      <c r="H30" s="205"/>
      <c r="I30" s="205"/>
      <c r="J30" s="234"/>
    </row>
    <row r="31" spans="1:13">
      <c r="B31" s="205"/>
      <c r="C31" s="205"/>
      <c r="D31" s="205"/>
      <c r="E31" s="205"/>
      <c r="F31" s="205"/>
      <c r="G31" s="205"/>
      <c r="H31" s="205"/>
      <c r="I31" s="205"/>
      <c r="J31" s="234"/>
    </row>
    <row r="32" spans="1:13">
      <c r="B32" s="205"/>
      <c r="C32" s="205"/>
      <c r="D32" s="205"/>
      <c r="E32" s="205"/>
      <c r="F32" s="205"/>
      <c r="G32" s="205"/>
      <c r="H32" s="205"/>
      <c r="I32" s="205"/>
      <c r="J32" s="234"/>
    </row>
    <row r="33" spans="2:10">
      <c r="B33" s="205"/>
      <c r="C33" s="205"/>
      <c r="D33" s="205"/>
      <c r="E33" s="205"/>
      <c r="F33" s="205"/>
      <c r="G33" s="205"/>
      <c r="H33" s="205"/>
      <c r="I33" s="205"/>
      <c r="J33" s="234"/>
    </row>
  </sheetData>
  <sheetProtection algorithmName="SHA-512" hashValue="9o9gS/1ZqAUBS0n8meh832rRwdbTPK7laEZDWlED4MQ2YlvfGiIgwZF1Gu/9mLfVD6xuO2PQD0qSeORPl32+tQ==" saltValue="vp87WK8GF8aNOSUDQ6Tk7g==" spinCount="100000" sheet="1" objects="1" scenarios="1"/>
  <pageMargins left="0.75" right="0.75" top="1" bottom="0.5" header="0.25" footer="0.3"/>
  <pageSetup scale="65" orientation="landscape" horizontalDpi="1200" verticalDpi="1200" r:id="rId1"/>
  <headerFooter>
    <oddHeader>&amp;L&amp;G&amp;C&amp;"-,Bold"&amp;16 2023-2025 planning allocation
to Area Agencies on Aging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rgb="FFFFFF66"/>
  </sheetPr>
  <dimension ref="A1:I35"/>
  <sheetViews>
    <sheetView zoomScaleNormal="100" zoomScaleSheetLayoutView="80" workbookViewId="0">
      <selection activeCell="B13" activeCellId="1" sqref="B9 B13"/>
    </sheetView>
  </sheetViews>
  <sheetFormatPr defaultRowHeight="15"/>
  <cols>
    <col min="1" max="1" width="22.140625" customWidth="1" collapsed="1"/>
    <col min="2" max="2" width="63.42578125" customWidth="1" collapsed="1"/>
    <col min="3" max="7" width="13.28515625" style="18" customWidth="1" collapsed="1"/>
    <col min="8" max="8" width="14" customWidth="1" collapsed="1"/>
    <col min="9" max="9" width="10.5703125" bestFit="1" customWidth="1" collapsed="1"/>
  </cols>
  <sheetData>
    <row r="1" spans="1:9" s="305" customFormat="1" ht="24" thickBot="1">
      <c r="A1" s="692" t="s">
        <v>495</v>
      </c>
      <c r="B1" s="684"/>
      <c r="C1" s="684"/>
      <c r="D1" s="684"/>
      <c r="E1" s="684"/>
      <c r="F1" s="684"/>
      <c r="G1" s="684"/>
      <c r="H1" s="685"/>
    </row>
    <row r="2" spans="1:9" s="64" customFormat="1" ht="54">
      <c r="A2" s="673" t="s">
        <v>477</v>
      </c>
      <c r="B2" s="673" t="s">
        <v>404</v>
      </c>
      <c r="C2" s="673" t="s">
        <v>22</v>
      </c>
      <c r="D2" s="673" t="s">
        <v>26</v>
      </c>
      <c r="E2" s="673" t="s">
        <v>390</v>
      </c>
      <c r="F2" s="673" t="s">
        <v>443</v>
      </c>
      <c r="G2" s="673" t="s">
        <v>444</v>
      </c>
      <c r="H2" s="673" t="s">
        <v>445</v>
      </c>
    </row>
    <row r="3" spans="1:9" ht="15.75">
      <c r="A3" s="677" t="str" cm="1">
        <f t="array" ref="A3">_xlfn.XLOOKUP($A$1,Titles,_xlfn.XLOOKUP(LEFT(B3,4),GrantYears,FAIN),"x",-1)</f>
        <v>2301OROANS</v>
      </c>
      <c r="B3" s="48" t="s">
        <v>393</v>
      </c>
      <c r="C3" s="18">
        <f>'4. Award History&amp;Projections '!H16</f>
        <v>1725165</v>
      </c>
      <c r="D3" s="32">
        <v>0.25</v>
      </c>
      <c r="E3" s="18">
        <f>ROUND(C3*D3,0)</f>
        <v>431291</v>
      </c>
      <c r="H3" s="18">
        <f>SUM(E3:G3)</f>
        <v>431291</v>
      </c>
    </row>
    <row r="4" spans="1:9" ht="15.75">
      <c r="A4" s="678" t="str" cm="1">
        <f t="array" ref="A4">_xlfn.XLOOKUP($A$1,Titles,_xlfn.XLOOKUP(LEFT(B4,4),GrantYears,FAIN),"x",-1)</f>
        <v>2401OROANS</v>
      </c>
      <c r="B4" s="48" t="s">
        <v>441</v>
      </c>
      <c r="C4" s="18">
        <f>'4. Award History&amp;Projections '!H17</f>
        <v>1725165</v>
      </c>
      <c r="D4" s="32">
        <v>1</v>
      </c>
      <c r="F4" s="18">
        <f>ROUND(C4*D4,0)</f>
        <v>1725165</v>
      </c>
      <c r="H4" s="18">
        <f>SUM(E4:G4)</f>
        <v>1725165</v>
      </c>
    </row>
    <row r="5" spans="1:9" ht="15.75">
      <c r="A5" s="679" t="str" cm="1">
        <f t="array" ref="A5">_xlfn.XLOOKUP($A$1,Titles,_xlfn.XLOOKUP(LEFT(B5,4),GrantYears,FAIN),"x",-1)</f>
        <v>2501OROANS</v>
      </c>
      <c r="B5" s="48" t="s">
        <v>442</v>
      </c>
      <c r="C5" s="18">
        <f>'4. Award History&amp;Projections '!H18</f>
        <v>1725165</v>
      </c>
      <c r="D5" s="32">
        <v>0.75</v>
      </c>
      <c r="E5" s="8"/>
      <c r="F5" s="8"/>
      <c r="G5" s="8">
        <f>ROUND(C5*D5,0)</f>
        <v>1293874</v>
      </c>
      <c r="H5" s="8">
        <f>SUM(E5:G5)</f>
        <v>1293874</v>
      </c>
    </row>
    <row r="6" spans="1:9">
      <c r="A6" s="190"/>
      <c r="B6" s="48" t="s">
        <v>23</v>
      </c>
      <c r="D6" s="30"/>
      <c r="E6" s="18">
        <f>SUM(E3:E5)</f>
        <v>431291</v>
      </c>
      <c r="F6" s="18">
        <f>SUM(F3:F5)</f>
        <v>1725165</v>
      </c>
      <c r="G6" s="18">
        <f>SUM(G3:G5)</f>
        <v>1293874</v>
      </c>
      <c r="H6" s="18">
        <f>SUM(H3:H5)</f>
        <v>3450330</v>
      </c>
    </row>
    <row r="7" spans="1:9">
      <c r="A7" s="190"/>
      <c r="B7" s="48" t="s">
        <v>24</v>
      </c>
      <c r="D7" s="5">
        <v>0</v>
      </c>
      <c r="E7" s="8">
        <f>ROUND($D$7*-E6,0)</f>
        <v>0</v>
      </c>
      <c r="F7" s="8">
        <f>ROUND($D$7*-F6,0)</f>
        <v>0</v>
      </c>
      <c r="G7" s="8">
        <f>ROUND($D$7*-G6,0)</f>
        <v>0</v>
      </c>
      <c r="H7" s="8">
        <f>SUM(E7:G7)</f>
        <v>0</v>
      </c>
    </row>
    <row r="8" spans="1:9">
      <c r="A8" s="190"/>
      <c r="B8" s="48" t="s">
        <v>23</v>
      </c>
      <c r="E8" s="18">
        <f>SUM(E6:E7)</f>
        <v>431291</v>
      </c>
      <c r="F8" s="18">
        <f>SUM(F6:F7)</f>
        <v>1725165</v>
      </c>
      <c r="G8" s="18">
        <f>SUM(G6:G7)</f>
        <v>1293874</v>
      </c>
      <c r="H8" s="18">
        <f>SUM(H6:H7)</f>
        <v>3450330</v>
      </c>
    </row>
    <row r="9" spans="1:9" s="15" customFormat="1">
      <c r="A9" s="53"/>
      <c r="B9" s="53" t="s">
        <v>35</v>
      </c>
      <c r="C9" s="18"/>
      <c r="D9" s="18"/>
      <c r="E9" s="17"/>
      <c r="F9" s="17"/>
      <c r="G9" s="17"/>
      <c r="H9" s="17">
        <v>0</v>
      </c>
    </row>
    <row r="10" spans="1:9" s="1" customFormat="1" ht="15.75" thickBot="1">
      <c r="A10" s="46"/>
      <c r="B10" s="46" t="s">
        <v>29</v>
      </c>
      <c r="C10" s="10"/>
      <c r="D10" s="10"/>
      <c r="E10" s="14"/>
      <c r="F10" s="14"/>
      <c r="G10" s="14"/>
      <c r="H10" s="11">
        <f>H8</f>
        <v>3450330</v>
      </c>
    </row>
    <row r="11" spans="1:9" s="686" customFormat="1" ht="15.75" thickTop="1">
      <c r="A11" s="83"/>
      <c r="B11" s="83"/>
      <c r="C11" s="81"/>
      <c r="D11" s="81"/>
      <c r="E11" s="82"/>
      <c r="F11" s="82"/>
      <c r="G11" s="82"/>
      <c r="H11" s="82"/>
    </row>
    <row r="12" spans="1:9">
      <c r="A12" s="63"/>
      <c r="B12" s="63" t="s">
        <v>144</v>
      </c>
      <c r="H12" s="18"/>
    </row>
    <row r="13" spans="1:9">
      <c r="A13" s="76"/>
      <c r="B13" s="76" t="s">
        <v>36</v>
      </c>
      <c r="C13" s="18">
        <v>0</v>
      </c>
      <c r="D13" s="18">
        <v>0</v>
      </c>
      <c r="H13" s="18">
        <f>C13*D13</f>
        <v>0</v>
      </c>
      <c r="I13" s="12"/>
    </row>
    <row r="14" spans="1:9">
      <c r="A14" s="190"/>
      <c r="B14" s="48" t="s">
        <v>28</v>
      </c>
      <c r="D14" s="5">
        <v>0</v>
      </c>
      <c r="H14" s="18">
        <f>ROUND((H10-H13)*D14,0)</f>
        <v>0</v>
      </c>
    </row>
    <row r="15" spans="1:9">
      <c r="A15" s="190"/>
      <c r="B15" s="48" t="s">
        <v>76</v>
      </c>
      <c r="D15" s="5">
        <v>1</v>
      </c>
      <c r="H15" s="18">
        <f>H10-H13-H14</f>
        <v>3450330</v>
      </c>
    </row>
    <row r="16" spans="1:9" s="1" customFormat="1" ht="15.75" thickBot="1">
      <c r="A16" s="46"/>
      <c r="B16" s="46" t="s">
        <v>29</v>
      </c>
      <c r="C16" s="10"/>
      <c r="D16" s="10"/>
      <c r="E16" s="10"/>
      <c r="F16" s="10"/>
      <c r="G16" s="10"/>
      <c r="H16" s="11">
        <f>SUM(H13:H15)</f>
        <v>3450330</v>
      </c>
    </row>
    <row r="17" spans="1:8" s="169" customFormat="1" ht="6.75" customHeight="1" thickTop="1">
      <c r="A17" s="77"/>
      <c r="B17" s="77"/>
      <c r="C17" s="78"/>
      <c r="D17" s="78"/>
      <c r="E17" s="78"/>
      <c r="F17" s="78"/>
      <c r="G17" s="78"/>
      <c r="H17" s="77"/>
    </row>
    <row r="18" spans="1:8" s="64" customFormat="1" ht="108">
      <c r="A18" s="154"/>
      <c r="B18" s="154" t="s">
        <v>58</v>
      </c>
      <c r="C18" s="84" t="s">
        <v>191</v>
      </c>
      <c r="D18" s="84" t="s">
        <v>202</v>
      </c>
      <c r="E18" s="84" t="s">
        <v>205</v>
      </c>
      <c r="F18" s="84" t="s">
        <v>207</v>
      </c>
      <c r="G18" s="85" t="s">
        <v>204</v>
      </c>
      <c r="H18" s="86"/>
    </row>
    <row r="19" spans="1:8">
      <c r="A19" s="103"/>
      <c r="B19" s="103" t="s">
        <v>72</v>
      </c>
      <c r="C19" s="68">
        <f>$C$13</f>
        <v>0</v>
      </c>
      <c r="D19" s="68">
        <f>ROUND(('3. Population-NSIP#'!C3*$H$14),0)</f>
        <v>0</v>
      </c>
      <c r="E19" s="68">
        <f>SUM(('3. Population-NSIP#'!K3*$H$15),0)</f>
        <v>161135.32579539463</v>
      </c>
      <c r="F19" s="382">
        <f>ROUND(C19+D19+E19,0)</f>
        <v>161135</v>
      </c>
      <c r="G19" s="93">
        <f>F19/$F$35</f>
        <v>4.6701330017708452E-2</v>
      </c>
      <c r="H19" s="18"/>
    </row>
    <row r="20" spans="1:8">
      <c r="A20" s="103"/>
      <c r="B20" s="103" t="s">
        <v>61</v>
      </c>
      <c r="C20" s="68">
        <f t="shared" ref="C20:C34" si="0">$C$13</f>
        <v>0</v>
      </c>
      <c r="D20" s="68">
        <f>ROUND(('3. Population-NSIP#'!C4*$H$14),0)</f>
        <v>0</v>
      </c>
      <c r="E20" s="68">
        <f>SUM(('3. Population-NSIP#'!K4*$H$15),0)</f>
        <v>84375.673706067391</v>
      </c>
      <c r="F20" s="382">
        <f t="shared" ref="F20:F34" si="1">ROUND(C20+D20+E20,0)</f>
        <v>84376</v>
      </c>
      <c r="G20" s="93">
        <f t="shared" ref="G20:G34" si="2">F20/$F$35</f>
        <v>2.4454472470749174E-2</v>
      </c>
      <c r="H20" s="18"/>
    </row>
    <row r="21" spans="1:8">
      <c r="A21" s="103"/>
      <c r="B21" s="103" t="s">
        <v>73</v>
      </c>
      <c r="C21" s="68">
        <f t="shared" si="0"/>
        <v>0</v>
      </c>
      <c r="D21" s="68">
        <f>ROUND(('3. Population-NSIP#'!C5*$H$14),0)</f>
        <v>0</v>
      </c>
      <c r="E21" s="68">
        <f>SUM(('3. Population-NSIP#'!K5*$H$15),0)</f>
        <v>131809.29883238045</v>
      </c>
      <c r="F21" s="382">
        <f t="shared" si="1"/>
        <v>131809</v>
      </c>
      <c r="G21" s="93">
        <f t="shared" si="2"/>
        <v>3.8201853156074925E-2</v>
      </c>
      <c r="H21" s="18"/>
    </row>
    <row r="22" spans="1:8">
      <c r="A22" s="103"/>
      <c r="B22" s="103" t="s">
        <v>60</v>
      </c>
      <c r="C22" s="68">
        <f t="shared" si="0"/>
        <v>0</v>
      </c>
      <c r="D22" s="68">
        <f>ROUND(('3. Population-NSIP#'!C6*$H$14),0)</f>
        <v>0</v>
      </c>
      <c r="E22" s="68">
        <f>SUM(('3. Population-NSIP#'!K6*$H$15),0)</f>
        <v>330888.62890311575</v>
      </c>
      <c r="F22" s="382">
        <f t="shared" si="1"/>
        <v>330889</v>
      </c>
      <c r="G22" s="93">
        <f t="shared" si="2"/>
        <v>9.5900681963754189E-2</v>
      </c>
      <c r="H22" s="18"/>
    </row>
    <row r="23" spans="1:8">
      <c r="B23" s="103" t="s">
        <v>541</v>
      </c>
      <c r="C23" s="68">
        <f t="shared" si="0"/>
        <v>0</v>
      </c>
      <c r="D23" s="68">
        <f>ROUND(('3. Population-NSIP#'!C7*$H$14),0)</f>
        <v>0</v>
      </c>
      <c r="E23" s="68">
        <f>SUM(('3. Population-NSIP#'!K7*$H$15),0)</f>
        <v>154790.57166525105</v>
      </c>
      <c r="F23" s="382">
        <f t="shared" si="1"/>
        <v>154791</v>
      </c>
      <c r="G23" s="93">
        <f t="shared" si="2"/>
        <v>4.486266531027467E-2</v>
      </c>
      <c r="H23" s="18"/>
    </row>
    <row r="24" spans="1:8">
      <c r="B24" s="103" t="s">
        <v>169</v>
      </c>
      <c r="C24" s="68">
        <f t="shared" si="0"/>
        <v>0</v>
      </c>
      <c r="D24" s="68">
        <f>ROUND(('3. Population-NSIP#'!C8*$H$14),0)</f>
        <v>0</v>
      </c>
      <c r="E24" s="68">
        <f>SUM(('3. Population-NSIP#'!K8*$H$15),0)</f>
        <v>97053.598663515411</v>
      </c>
      <c r="F24" s="382">
        <f t="shared" si="1"/>
        <v>97054</v>
      </c>
      <c r="G24" s="93">
        <f t="shared" si="2"/>
        <v>2.8128903612118263E-2</v>
      </c>
      <c r="H24" s="18"/>
    </row>
    <row r="25" spans="1:8">
      <c r="B25" s="103" t="s">
        <v>74</v>
      </c>
      <c r="C25" s="68">
        <f t="shared" si="0"/>
        <v>0</v>
      </c>
      <c r="D25" s="68">
        <f>ROUND(('3. Population-NSIP#'!C9*$H$14),0)</f>
        <v>0</v>
      </c>
      <c r="E25" s="68">
        <f>SUM(('3. Population-NSIP#'!K9*$H$15),0)</f>
        <v>18582.513579703966</v>
      </c>
      <c r="F25" s="382">
        <f t="shared" si="1"/>
        <v>18583</v>
      </c>
      <c r="G25" s="93">
        <f t="shared" si="2"/>
        <v>5.3858616422197301E-3</v>
      </c>
      <c r="H25" s="18"/>
    </row>
    <row r="26" spans="1:8">
      <c r="B26" s="103" t="s">
        <v>71</v>
      </c>
      <c r="C26" s="68">
        <f t="shared" si="0"/>
        <v>0</v>
      </c>
      <c r="D26" s="68">
        <f>ROUND(('3. Population-NSIP#'!C10*$H$14),0)</f>
        <v>0</v>
      </c>
      <c r="E26" s="68">
        <f>SUM(('3. Population-NSIP#'!K10*$H$15),0)</f>
        <v>131292.39394318344</v>
      </c>
      <c r="F26" s="382">
        <f t="shared" si="1"/>
        <v>131292</v>
      </c>
      <c r="G26" s="93">
        <f t="shared" si="2"/>
        <v>3.8052012416203665E-2</v>
      </c>
      <c r="H26" s="18"/>
    </row>
    <row r="27" spans="1:8">
      <c r="B27" s="103" t="s">
        <v>65</v>
      </c>
      <c r="C27" s="68">
        <f t="shared" si="0"/>
        <v>0</v>
      </c>
      <c r="D27" s="68">
        <f>ROUND(('3. Population-NSIP#'!C11*$H$14),0)</f>
        <v>0</v>
      </c>
      <c r="E27" s="68">
        <f>SUM(('3. Population-NSIP#'!K11*$H$15),0)</f>
        <v>273045.95826297288</v>
      </c>
      <c r="F27" s="382">
        <f t="shared" si="1"/>
        <v>273046</v>
      </c>
      <c r="G27" s="93">
        <f t="shared" si="2"/>
        <v>7.9136198566513924E-2</v>
      </c>
      <c r="H27" s="18"/>
    </row>
    <row r="28" spans="1:8">
      <c r="B28" s="103" t="s">
        <v>221</v>
      </c>
      <c r="C28" s="68">
        <f t="shared" si="0"/>
        <v>0</v>
      </c>
      <c r="D28" s="68">
        <f>ROUND(('3. Population-NSIP#'!C12*$H$14),0)</f>
        <v>0</v>
      </c>
      <c r="E28" s="68">
        <f>SUM(('3. Population-NSIP#'!K12*$H$15),0)-1</f>
        <v>762409.09704704385</v>
      </c>
      <c r="F28" s="382">
        <f t="shared" si="1"/>
        <v>762409</v>
      </c>
      <c r="G28" s="93">
        <f t="shared" si="2"/>
        <v>0.22096697997003184</v>
      </c>
      <c r="H28" s="18"/>
    </row>
    <row r="29" spans="1:8">
      <c r="B29" s="103" t="s">
        <v>75</v>
      </c>
      <c r="C29" s="68">
        <f t="shared" si="0"/>
        <v>0</v>
      </c>
      <c r="D29" s="68">
        <f>ROUND(('3. Population-NSIP#'!C13*$H$14),0)</f>
        <v>0</v>
      </c>
      <c r="E29" s="68">
        <f>SUM(('3. Population-NSIP#'!K13*$H$15),0)</f>
        <v>23926.759927116102</v>
      </c>
      <c r="F29" s="382">
        <f t="shared" si="1"/>
        <v>23927</v>
      </c>
      <c r="G29" s="93">
        <f t="shared" si="2"/>
        <v>6.9346989998058158E-3</v>
      </c>
      <c r="H29" s="18"/>
    </row>
    <row r="30" spans="1:8">
      <c r="B30" s="103" t="s">
        <v>59</v>
      </c>
      <c r="C30" s="68">
        <f t="shared" si="0"/>
        <v>0</v>
      </c>
      <c r="D30" s="68">
        <f>ROUND(('3. Population-NSIP#'!C14*$H$14),0)</f>
        <v>0</v>
      </c>
      <c r="E30" s="68">
        <f>SUM(('3. Population-NSIP#'!K14*$H$15),0)</f>
        <v>385763.07819072681</v>
      </c>
      <c r="F30" s="382">
        <f t="shared" si="1"/>
        <v>385763</v>
      </c>
      <c r="G30" s="93">
        <f t="shared" si="2"/>
        <v>0.11180466795929665</v>
      </c>
      <c r="H30" s="18"/>
    </row>
    <row r="31" spans="1:8">
      <c r="B31" s="103" t="s">
        <v>64</v>
      </c>
      <c r="C31" s="68">
        <f t="shared" si="0"/>
        <v>0</v>
      </c>
      <c r="D31" s="68">
        <f>ROUND(('3. Population-NSIP#'!C15*$H$14),0)</f>
        <v>0</v>
      </c>
      <c r="E31" s="68">
        <f>SUM(('3. Population-NSIP#'!K15*$H$15),0)</f>
        <v>222238.69618475786</v>
      </c>
      <c r="F31" s="382">
        <f t="shared" si="1"/>
        <v>222239</v>
      </c>
      <c r="G31" s="93">
        <f t="shared" si="2"/>
        <v>6.4410940402802055E-2</v>
      </c>
      <c r="H31" s="18"/>
    </row>
    <row r="32" spans="1:8">
      <c r="B32" s="103" t="s">
        <v>68</v>
      </c>
      <c r="C32" s="68">
        <f t="shared" si="0"/>
        <v>0</v>
      </c>
      <c r="D32" s="68">
        <f>ROUND(('3. Population-NSIP#'!C16*$H$14),0)</f>
        <v>0</v>
      </c>
      <c r="E32" s="68">
        <f>SUM(('3. Population-NSIP#'!K16*$H$15),0)</f>
        <v>288189.67881230463</v>
      </c>
      <c r="F32" s="382">
        <f t="shared" si="1"/>
        <v>288190</v>
      </c>
      <c r="G32" s="93">
        <f t="shared" si="2"/>
        <v>8.3525343952607425E-2</v>
      </c>
      <c r="H32" s="18"/>
    </row>
    <row r="33" spans="1:8">
      <c r="B33" s="103" t="s">
        <v>67</v>
      </c>
      <c r="C33" s="68">
        <f t="shared" si="0"/>
        <v>0</v>
      </c>
      <c r="D33" s="68">
        <f>ROUND(('3. Population-NSIP#'!C17*$H$14),0)</f>
        <v>0</v>
      </c>
      <c r="E33" s="68">
        <f>SUM(('3. Population-NSIP#'!K17*$H$15),0)</f>
        <v>174854.30009551113</v>
      </c>
      <c r="F33" s="382">
        <f t="shared" si="1"/>
        <v>174854</v>
      </c>
      <c r="G33" s="93">
        <f t="shared" si="2"/>
        <v>5.0677471430268989E-2</v>
      </c>
      <c r="H33" s="18"/>
    </row>
    <row r="34" spans="1:8">
      <c r="B34" s="103" t="s">
        <v>63</v>
      </c>
      <c r="C34" s="68">
        <f t="shared" si="0"/>
        <v>0</v>
      </c>
      <c r="D34" s="68">
        <f>ROUND(('3. Population-NSIP#'!C18*$H$14),0)</f>
        <v>0</v>
      </c>
      <c r="E34" s="68">
        <f>SUM(('3. Population-NSIP#'!K18*$H$15),0)</f>
        <v>209973.4263909545</v>
      </c>
      <c r="F34" s="382">
        <f t="shared" si="1"/>
        <v>209973</v>
      </c>
      <c r="G34" s="93">
        <f t="shared" si="2"/>
        <v>6.0855918129570218E-2</v>
      </c>
      <c r="H34" s="18"/>
    </row>
    <row r="35" spans="1:8" s="1" customFormat="1">
      <c r="A35"/>
      <c r="B35" s="71" t="s">
        <v>29</v>
      </c>
      <c r="C35" s="69">
        <f>SUM(C19:C34)</f>
        <v>0</v>
      </c>
      <c r="D35" s="69">
        <f>SUM(D19:D34)</f>
        <v>0</v>
      </c>
      <c r="E35" s="69">
        <f>SUM(E19:E34)</f>
        <v>3450328.9999999995</v>
      </c>
      <c r="F35" s="69">
        <f>SUM(F19:F34)</f>
        <v>3450330</v>
      </c>
      <c r="G35" s="72">
        <f>SUM(G19:G34)</f>
        <v>1</v>
      </c>
      <c r="H35" s="10"/>
    </row>
  </sheetData>
  <sheetProtection algorithmName="SHA-512" hashValue="A0UAzinPiwxmYKwe7MnuBORFr8tmUwzHVxrBtMFTaknEJYbpdA7C6Woi8UJkKQC8nYds7+JEdcukMc1TVAHbDA==" saltValue="RIEi2adHn/gtEc7sXHBI4Q==" spinCount="100000" sheet="1" objects="1" scenarios="1"/>
  <pageMargins left="0.75" right="0.75" top="1" bottom="0.5" header="0.25" footer="0.3"/>
  <pageSetup paperSize="3" orientation="landscape" horizontalDpi="1200" verticalDpi="1200" r:id="rId1"/>
  <headerFooter>
    <oddHeader>&amp;L&amp;G&amp;C&amp;"-,Bold"&amp;16 2023-2025 planning allocation
to Area Agencies on Aging</oddHead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0">
    <tabColor rgb="FFFFFF66"/>
    <pageSetUpPr fitToPage="1"/>
  </sheetPr>
  <dimension ref="A1:M44"/>
  <sheetViews>
    <sheetView zoomScaleNormal="100" zoomScaleSheetLayoutView="100" workbookViewId="0">
      <pane xSplit="1" ySplit="1" topLeftCell="B2" activePane="bottomRight" state="frozen"/>
      <selection activeCell="U46" sqref="U46"/>
      <selection pane="topRight" activeCell="U46" sqref="U46"/>
      <selection pane="bottomLeft" activeCell="U46" sqref="U46"/>
      <selection pane="bottomRight" activeCell="U46" sqref="U46"/>
    </sheetView>
  </sheetViews>
  <sheetFormatPr defaultRowHeight="15"/>
  <cols>
    <col min="1" max="1" width="63.42578125" customWidth="1" collapsed="1"/>
    <col min="2" max="3" width="13.28515625" style="18" customWidth="1" collapsed="1"/>
    <col min="4" max="4" width="13.28515625" style="18" hidden="1" customWidth="1" collapsed="1"/>
    <col min="5" max="6" width="13.28515625" style="18" customWidth="1" collapsed="1"/>
    <col min="7" max="7" width="14" customWidth="1" collapsed="1"/>
    <col min="8" max="8" width="10.5703125" bestFit="1" customWidth="1" collapsed="1"/>
    <col min="10" max="10" width="13.140625" customWidth="1"/>
    <col min="11" max="11" width="13.7109375" customWidth="1"/>
    <col min="12" max="12" width="11.5703125" bestFit="1" customWidth="1"/>
  </cols>
  <sheetData>
    <row r="1" spans="1:7" s="64" customFormat="1" ht="67.5">
      <c r="A1" s="87" t="s">
        <v>255</v>
      </c>
      <c r="B1" s="87" t="s">
        <v>22</v>
      </c>
      <c r="C1" s="87" t="s">
        <v>26</v>
      </c>
      <c r="D1" s="87" t="s">
        <v>25</v>
      </c>
      <c r="E1" s="198" t="s">
        <v>256</v>
      </c>
      <c r="F1" s="87"/>
      <c r="G1" s="87"/>
    </row>
    <row r="2" spans="1:7" ht="12.95" customHeight="1">
      <c r="C2" s="32"/>
      <c r="G2" s="18">
        <f>SUM(D2:F2)</f>
        <v>0</v>
      </c>
    </row>
    <row r="3" spans="1:7" ht="12.95" customHeight="1">
      <c r="A3" s="190" t="s">
        <v>426</v>
      </c>
      <c r="B3" s="18">
        <v>0</v>
      </c>
      <c r="C3" s="32">
        <v>1</v>
      </c>
      <c r="E3" s="18">
        <f>ROUND(B3*C3,0)</f>
        <v>0</v>
      </c>
      <c r="G3" s="18">
        <f>SUM(D3:F3)</f>
        <v>0</v>
      </c>
    </row>
    <row r="4" spans="1:7" ht="12.95" customHeight="1">
      <c r="A4" s="190"/>
      <c r="C4" s="32"/>
      <c r="D4" s="8"/>
      <c r="E4" s="8"/>
      <c r="F4" s="8">
        <f>ROUND(B4*C4,0)</f>
        <v>0</v>
      </c>
      <c r="G4" s="8">
        <f>SUM(D4:F4)</f>
        <v>0</v>
      </c>
    </row>
    <row r="5" spans="1:7" ht="12.95" customHeight="1">
      <c r="A5" s="190"/>
      <c r="C5" s="30"/>
      <c r="D5" s="18">
        <f>SUM(D2:D4)</f>
        <v>0</v>
      </c>
      <c r="F5" s="18">
        <f>SUM(F2:F4)</f>
        <v>0</v>
      </c>
      <c r="G5" s="18">
        <f>SUM(G2:G4)</f>
        <v>0</v>
      </c>
    </row>
    <row r="6" spans="1:7" ht="12.95" customHeight="1">
      <c r="A6" s="190"/>
      <c r="C6" s="5"/>
      <c r="D6" s="8">
        <f>ROUND($C$6*-D5,0)</f>
        <v>0</v>
      </c>
      <c r="E6" s="8">
        <f>ROUND($C$6*-E5,0)</f>
        <v>0</v>
      </c>
      <c r="F6" s="8">
        <f>ROUND($C$6*-F5,0)</f>
        <v>0</v>
      </c>
      <c r="G6" s="8">
        <f>SUM(D6:F6)</f>
        <v>0</v>
      </c>
    </row>
    <row r="7" spans="1:7" ht="12.95" customHeight="1">
      <c r="A7" s="190" t="s">
        <v>23</v>
      </c>
      <c r="D7" s="18">
        <f>SUM(D5:D6)</f>
        <v>0</v>
      </c>
      <c r="E7" s="18">
        <f>SUM(E5:E6)</f>
        <v>0</v>
      </c>
      <c r="F7" s="18">
        <f>SUM(F5:F6)</f>
        <v>0</v>
      </c>
      <c r="G7" s="18">
        <f>SUM(G5:G6)</f>
        <v>0</v>
      </c>
    </row>
    <row r="8" spans="1:7" ht="12.95" customHeight="1">
      <c r="A8" s="51" t="s">
        <v>165</v>
      </c>
      <c r="B8" s="18">
        <v>0</v>
      </c>
      <c r="C8" s="6"/>
      <c r="D8" s="18">
        <f>ROUND(B8*C8,0)</f>
        <v>0</v>
      </c>
      <c r="G8" s="18">
        <f>SUM(D8:F8)</f>
        <v>0</v>
      </c>
    </row>
    <row r="9" spans="1:7" ht="12.95" customHeight="1">
      <c r="A9" s="51" t="s">
        <v>303</v>
      </c>
      <c r="B9" s="18">
        <v>0</v>
      </c>
      <c r="C9" s="6"/>
      <c r="E9" s="18">
        <f>ROUND(B9*C9,0)</f>
        <v>0</v>
      </c>
      <c r="G9" s="18">
        <f>SUM(D9:F9)</f>
        <v>0</v>
      </c>
    </row>
    <row r="10" spans="1:7" ht="12.95" customHeight="1">
      <c r="A10" s="51" t="s">
        <v>304</v>
      </c>
      <c r="B10" s="18">
        <v>0</v>
      </c>
      <c r="C10" s="6"/>
      <c r="D10" s="8"/>
      <c r="E10" s="8"/>
      <c r="F10" s="8">
        <f>ROUND(B10*C10,0)</f>
        <v>0</v>
      </c>
      <c r="G10" s="8">
        <f>SUM(D10:F10)</f>
        <v>0</v>
      </c>
    </row>
    <row r="11" spans="1:7" ht="12.95" customHeight="1">
      <c r="A11" s="53" t="s">
        <v>166</v>
      </c>
      <c r="C11" s="6"/>
      <c r="D11" s="13">
        <f>SUM(D8:D10)</f>
        <v>0</v>
      </c>
      <c r="E11" s="13">
        <f>SUM(E8:E10)</f>
        <v>0</v>
      </c>
      <c r="F11" s="13">
        <f>SUM(F8:F10)</f>
        <v>0</v>
      </c>
      <c r="G11" s="13">
        <f>SUM(G8:G10)</f>
        <v>0</v>
      </c>
    </row>
    <row r="12" spans="1:7" s="143" customFormat="1" ht="12.95" customHeight="1">
      <c r="A12" s="43" t="s">
        <v>23</v>
      </c>
      <c r="B12" s="18"/>
      <c r="C12" s="18"/>
      <c r="D12" s="16">
        <f>SUM(D7:D10)</f>
        <v>0</v>
      </c>
      <c r="E12" s="16">
        <f>SUM(E7:E10)</f>
        <v>0</v>
      </c>
      <c r="F12" s="16">
        <f>SUM(F7:F10)</f>
        <v>0</v>
      </c>
      <c r="G12" s="16">
        <f>SUM(G7:G10)</f>
        <v>0</v>
      </c>
    </row>
    <row r="13" spans="1:7" s="143" customFormat="1" ht="12.95" customHeight="1">
      <c r="A13" s="53" t="s">
        <v>35</v>
      </c>
      <c r="B13" s="18"/>
      <c r="C13" s="18"/>
      <c r="D13" s="144"/>
      <c r="E13" s="144"/>
      <c r="F13" s="144"/>
      <c r="G13" s="144">
        <v>0</v>
      </c>
    </row>
    <row r="14" spans="1:7" s="1" customFormat="1" ht="12.95" customHeight="1" thickBot="1">
      <c r="A14" s="46" t="s">
        <v>29</v>
      </c>
      <c r="B14" s="10"/>
      <c r="C14" s="10"/>
      <c r="D14" s="14"/>
      <c r="E14" s="14"/>
      <c r="F14" s="14"/>
      <c r="G14" s="11">
        <f>SUM(G12:G13)</f>
        <v>0</v>
      </c>
    </row>
    <row r="15" spans="1:7" s="83" customFormat="1" ht="12.95" customHeight="1" thickTop="1">
      <c r="B15" s="81"/>
      <c r="C15" s="81"/>
      <c r="D15" s="82"/>
      <c r="E15" s="82"/>
      <c r="F15" s="82"/>
      <c r="G15" s="82"/>
    </row>
    <row r="16" spans="1:7" ht="12.95" customHeight="1">
      <c r="A16" s="63"/>
      <c r="G16" s="18"/>
    </row>
    <row r="17" spans="1:13" ht="12.95" customHeight="1">
      <c r="A17" s="76"/>
      <c r="B17" s="199">
        <v>0</v>
      </c>
      <c r="C17" s="199">
        <v>0</v>
      </c>
      <c r="G17" s="18">
        <f>B17*C17</f>
        <v>0</v>
      </c>
      <c r="H17" s="12"/>
    </row>
    <row r="18" spans="1:13" ht="12.95" customHeight="1">
      <c r="A18" s="190"/>
      <c r="C18" s="200">
        <v>0</v>
      </c>
      <c r="G18" s="18">
        <f>ROUND((G14-G17)*C18,0)</f>
        <v>0</v>
      </c>
    </row>
    <row r="19" spans="1:13" ht="12.95" customHeight="1">
      <c r="A19" s="190" t="s">
        <v>435</v>
      </c>
      <c r="C19" s="5">
        <v>1</v>
      </c>
      <c r="G19" s="18"/>
    </row>
    <row r="20" spans="1:13" s="1" customFormat="1" ht="12.95" customHeight="1" thickBot="1">
      <c r="A20" s="46" t="s">
        <v>29</v>
      </c>
      <c r="B20" s="10"/>
      <c r="C20" s="10"/>
      <c r="D20" s="10"/>
      <c r="E20" s="10"/>
      <c r="F20" s="10"/>
      <c r="G20" s="11">
        <f>SUM(G17:G19)</f>
        <v>0</v>
      </c>
    </row>
    <row r="21" spans="1:13" s="77" customFormat="1" ht="6.75" customHeight="1" thickTop="1">
      <c r="B21" s="78"/>
      <c r="C21" s="78"/>
      <c r="D21" s="78"/>
      <c r="E21" s="78"/>
      <c r="F21" s="78"/>
    </row>
    <row r="22" spans="1:13" s="64" customFormat="1" ht="108">
      <c r="A22" s="154" t="s">
        <v>58</v>
      </c>
      <c r="B22" s="84" t="s">
        <v>191</v>
      </c>
      <c r="C22" s="84" t="s">
        <v>202</v>
      </c>
      <c r="D22" s="84" t="s">
        <v>205</v>
      </c>
      <c r="E22" s="84" t="s">
        <v>207</v>
      </c>
      <c r="F22" s="85" t="s">
        <v>204</v>
      </c>
      <c r="G22" s="86"/>
      <c r="H22"/>
      <c r="I22"/>
      <c r="J22" s="46"/>
      <c r="K22"/>
      <c r="L22" s="1"/>
      <c r="M22"/>
    </row>
    <row r="23" spans="1:13">
      <c r="A23" s="103" t="s">
        <v>72</v>
      </c>
      <c r="B23" s="68">
        <f>$B$17</f>
        <v>0</v>
      </c>
      <c r="C23" s="68">
        <f>ROUND(('3. Population-NSIP#'!C3*$G$18),0)</f>
        <v>0</v>
      </c>
      <c r="D23" s="68">
        <f>ROUND(('3. Population-NSIP#'!K3*$G$19),0)</f>
        <v>0</v>
      </c>
      <c r="E23" s="68">
        <v>0</v>
      </c>
      <c r="F23" s="93" t="e">
        <f t="shared" ref="F23:F38" si="0">E23/$E$39</f>
        <v>#DIV/0!</v>
      </c>
      <c r="G23" s="18"/>
      <c r="J23" s="46"/>
      <c r="L23" s="1"/>
    </row>
    <row r="24" spans="1:13">
      <c r="A24" s="103" t="s">
        <v>61</v>
      </c>
      <c r="B24" s="68">
        <f t="shared" ref="B24:B38" si="1">$B$17</f>
        <v>0</v>
      </c>
      <c r="C24" s="68">
        <f>ROUND(('3. Population-NSIP#'!C4*$G$18),0)</f>
        <v>0</v>
      </c>
      <c r="D24" s="68">
        <f>ROUND(('3. Population-NSIP#'!K4*$G$19),0)</f>
        <v>0</v>
      </c>
      <c r="E24" s="68">
        <v>0</v>
      </c>
      <c r="F24" s="93" t="e">
        <f t="shared" si="0"/>
        <v>#DIV/0!</v>
      </c>
      <c r="G24" s="18"/>
      <c r="J24" s="46"/>
      <c r="K24" s="1"/>
      <c r="L24" s="1"/>
    </row>
    <row r="25" spans="1:13">
      <c r="A25" s="103" t="s">
        <v>73</v>
      </c>
      <c r="B25" s="68">
        <f t="shared" si="1"/>
        <v>0</v>
      </c>
      <c r="C25" s="68">
        <f>ROUND(('3. Population-NSIP#'!C5*$G$18),0)</f>
        <v>0</v>
      </c>
      <c r="D25" s="68">
        <f>ROUND(('3. Population-NSIP#'!K5*$G$19),0)</f>
        <v>0</v>
      </c>
      <c r="E25" s="68">
        <v>0</v>
      </c>
      <c r="F25" s="93" t="e">
        <f t="shared" si="0"/>
        <v>#DIV/0!</v>
      </c>
      <c r="G25" s="18"/>
      <c r="J25" s="192"/>
      <c r="K25" s="1"/>
      <c r="L25" s="197"/>
    </row>
    <row r="26" spans="1:13">
      <c r="A26" s="103" t="s">
        <v>60</v>
      </c>
      <c r="B26" s="68">
        <f t="shared" si="1"/>
        <v>0</v>
      </c>
      <c r="C26" s="68">
        <f>ROUND(('3. Population-NSIP#'!C6*$G$18),0)</f>
        <v>0</v>
      </c>
      <c r="D26" s="68">
        <f>ROUND(('3. Population-NSIP#'!K6*$G$19),0)</f>
        <v>0</v>
      </c>
      <c r="E26" s="68">
        <v>0</v>
      </c>
      <c r="F26" s="93" t="e">
        <f t="shared" si="0"/>
        <v>#DIV/0!</v>
      </c>
      <c r="G26" s="18"/>
      <c r="J26" s="191"/>
      <c r="K26" s="196"/>
      <c r="L26" s="195"/>
    </row>
    <row r="27" spans="1:13">
      <c r="A27" s="103" t="s">
        <v>70</v>
      </c>
      <c r="B27" s="68">
        <f t="shared" si="1"/>
        <v>0</v>
      </c>
      <c r="C27" s="68">
        <f>ROUND(('3. Population-NSIP#'!C7*$G$18),0)</f>
        <v>0</v>
      </c>
      <c r="D27" s="68">
        <f>ROUND(('3. Population-NSIP#'!K7*$G$19),0)</f>
        <v>0</v>
      </c>
      <c r="E27" s="68">
        <v>0</v>
      </c>
      <c r="F27" s="93" t="e">
        <f t="shared" si="0"/>
        <v>#DIV/0!</v>
      </c>
      <c r="G27" s="18"/>
      <c r="J27" s="191"/>
      <c r="K27" s="196"/>
      <c r="L27" s="195"/>
    </row>
    <row r="28" spans="1:13">
      <c r="A28" s="103" t="s">
        <v>169</v>
      </c>
      <c r="B28" s="68">
        <f t="shared" si="1"/>
        <v>0</v>
      </c>
      <c r="C28" s="68">
        <f>ROUND(('3. Population-NSIP#'!C8*$G$18),0)</f>
        <v>0</v>
      </c>
      <c r="D28" s="68">
        <f>ROUND(('3. Population-NSIP#'!K8*$G$19),0)</f>
        <v>0</v>
      </c>
      <c r="E28" s="68">
        <v>0</v>
      </c>
      <c r="F28" s="93" t="e">
        <f t="shared" si="0"/>
        <v>#DIV/0!</v>
      </c>
      <c r="G28" s="18"/>
      <c r="J28" s="191"/>
      <c r="K28" s="196"/>
      <c r="L28" s="195"/>
    </row>
    <row r="29" spans="1:13">
      <c r="A29" s="103" t="s">
        <v>74</v>
      </c>
      <c r="B29" s="68">
        <f t="shared" si="1"/>
        <v>0</v>
      </c>
      <c r="C29" s="68">
        <f>ROUND(('3. Population-NSIP#'!C9*$G$18),0)</f>
        <v>0</v>
      </c>
      <c r="D29" s="68">
        <f>ROUND(('3. Population-NSIP#'!K9*$G$19),0)</f>
        <v>0</v>
      </c>
      <c r="E29" s="68">
        <v>0</v>
      </c>
      <c r="F29" s="93" t="e">
        <f t="shared" si="0"/>
        <v>#DIV/0!</v>
      </c>
      <c r="G29" s="18"/>
      <c r="J29" s="191"/>
      <c r="K29" s="196"/>
      <c r="L29" s="195"/>
    </row>
    <row r="30" spans="1:13">
      <c r="A30" s="103" t="s">
        <v>71</v>
      </c>
      <c r="B30" s="68">
        <f t="shared" si="1"/>
        <v>0</v>
      </c>
      <c r="C30" s="68">
        <f>ROUND(('3. Population-NSIP#'!C10*$G$18),0)</f>
        <v>0</v>
      </c>
      <c r="D30" s="68">
        <f>ROUND(('3. Population-NSIP#'!K10*$G$19),0)</f>
        <v>0</v>
      </c>
      <c r="E30" s="68">
        <v>0</v>
      </c>
      <c r="F30" s="93" t="e">
        <f t="shared" si="0"/>
        <v>#DIV/0!</v>
      </c>
      <c r="G30" s="18"/>
      <c r="J30" s="191"/>
      <c r="K30" s="196"/>
      <c r="L30" s="195"/>
    </row>
    <row r="31" spans="1:13">
      <c r="A31" s="103" t="s">
        <v>65</v>
      </c>
      <c r="B31" s="68">
        <f t="shared" si="1"/>
        <v>0</v>
      </c>
      <c r="C31" s="68">
        <f>ROUND(('3. Population-NSIP#'!C11*$G$18),0)</f>
        <v>0</v>
      </c>
      <c r="D31" s="68">
        <f>ROUND(('3. Population-NSIP#'!K11*$G$19),0)</f>
        <v>0</v>
      </c>
      <c r="E31" s="68">
        <v>0</v>
      </c>
      <c r="F31" s="93" t="e">
        <f t="shared" si="0"/>
        <v>#DIV/0!</v>
      </c>
      <c r="G31" s="18"/>
      <c r="J31" s="191"/>
      <c r="K31" s="196"/>
      <c r="L31" s="195"/>
    </row>
    <row r="32" spans="1:13">
      <c r="A32" s="103" t="s">
        <v>221</v>
      </c>
      <c r="B32" s="68">
        <f t="shared" si="1"/>
        <v>0</v>
      </c>
      <c r="C32" s="68">
        <f>ROUND(('3. Population-NSIP#'!C12*$G$18),0)</f>
        <v>0</v>
      </c>
      <c r="D32" s="68">
        <f>ROUND(('3. Population-NSIP#'!K12*$G$19),0)</f>
        <v>0</v>
      </c>
      <c r="E32" s="68">
        <v>0</v>
      </c>
      <c r="F32" s="93" t="e">
        <f t="shared" si="0"/>
        <v>#DIV/0!</v>
      </c>
      <c r="G32" s="18"/>
      <c r="J32" s="191"/>
      <c r="K32" s="196"/>
      <c r="L32" s="195"/>
    </row>
    <row r="33" spans="1:13">
      <c r="A33" s="103" t="s">
        <v>75</v>
      </c>
      <c r="B33" s="68">
        <f t="shared" si="1"/>
        <v>0</v>
      </c>
      <c r="C33" s="68">
        <f>ROUND(('3. Population-NSIP#'!C13*$G$18),0)</f>
        <v>0</v>
      </c>
      <c r="D33" s="68">
        <f>ROUND(('3. Population-NSIP#'!K13*$G$19),0)</f>
        <v>0</v>
      </c>
      <c r="E33" s="68">
        <v>0</v>
      </c>
      <c r="F33" s="93" t="e">
        <f t="shared" si="0"/>
        <v>#DIV/0!</v>
      </c>
      <c r="G33" s="18"/>
      <c r="J33" s="191"/>
      <c r="K33" s="196"/>
      <c r="L33" s="195"/>
    </row>
    <row r="34" spans="1:13">
      <c r="A34" s="103" t="s">
        <v>59</v>
      </c>
      <c r="B34" s="68">
        <f t="shared" si="1"/>
        <v>0</v>
      </c>
      <c r="C34" s="68">
        <f>ROUND(('3. Population-NSIP#'!C14*$G$18),0)</f>
        <v>0</v>
      </c>
      <c r="D34" s="68">
        <f>ROUND(('3. Population-NSIP#'!K14*$G$19),0)</f>
        <v>0</v>
      </c>
      <c r="E34" s="68">
        <v>0</v>
      </c>
      <c r="F34" s="93" t="e">
        <f t="shared" si="0"/>
        <v>#DIV/0!</v>
      </c>
      <c r="G34" s="18"/>
      <c r="J34" s="191"/>
      <c r="K34" s="196"/>
      <c r="L34" s="195"/>
    </row>
    <row r="35" spans="1:13">
      <c r="A35" s="103" t="s">
        <v>64</v>
      </c>
      <c r="B35" s="68">
        <f t="shared" si="1"/>
        <v>0</v>
      </c>
      <c r="C35" s="68">
        <f>ROUND(('3. Population-NSIP#'!C15*$G$18),0)</f>
        <v>0</v>
      </c>
      <c r="D35" s="68">
        <f>ROUND(('3. Population-NSIP#'!K15*$G$19),0)</f>
        <v>0</v>
      </c>
      <c r="E35" s="68">
        <v>0</v>
      </c>
      <c r="F35" s="93" t="e">
        <f t="shared" si="0"/>
        <v>#DIV/0!</v>
      </c>
      <c r="G35" s="18"/>
      <c r="J35" s="191"/>
      <c r="K35" s="196"/>
      <c r="L35" s="195"/>
    </row>
    <row r="36" spans="1:13">
      <c r="A36" s="103" t="s">
        <v>68</v>
      </c>
      <c r="B36" s="68">
        <f t="shared" si="1"/>
        <v>0</v>
      </c>
      <c r="C36" s="68">
        <f>ROUND(('3. Population-NSIP#'!C16*$G$18),0)</f>
        <v>0</v>
      </c>
      <c r="D36" s="68">
        <f>ROUND(('3. Population-NSIP#'!K16*$G$19),0)</f>
        <v>0</v>
      </c>
      <c r="E36" s="68">
        <v>0</v>
      </c>
      <c r="F36" s="93" t="e">
        <f t="shared" si="0"/>
        <v>#DIV/0!</v>
      </c>
      <c r="G36" s="18"/>
      <c r="H36" s="1"/>
      <c r="I36" s="143"/>
      <c r="J36" s="193"/>
      <c r="K36" s="196"/>
      <c r="L36" s="195"/>
      <c r="M36" s="1"/>
    </row>
    <row r="37" spans="1:13">
      <c r="A37" s="103" t="s">
        <v>67</v>
      </c>
      <c r="B37" s="68">
        <f t="shared" si="1"/>
        <v>0</v>
      </c>
      <c r="C37" s="68">
        <f>ROUND(('3. Population-NSIP#'!C17*$G$18),0)</f>
        <v>0</v>
      </c>
      <c r="D37" s="68">
        <f>ROUND(('3. Population-NSIP#'!K17*$G$19),0)</f>
        <v>0</v>
      </c>
      <c r="E37" s="68">
        <v>0</v>
      </c>
      <c r="F37" s="93" t="e">
        <f t="shared" si="0"/>
        <v>#DIV/0!</v>
      </c>
      <c r="G37" s="18"/>
      <c r="J37" s="191"/>
      <c r="K37" s="196"/>
      <c r="L37" s="195"/>
    </row>
    <row r="38" spans="1:13">
      <c r="A38" s="103" t="s">
        <v>63</v>
      </c>
      <c r="B38" s="68">
        <f t="shared" si="1"/>
        <v>0</v>
      </c>
      <c r="C38" s="68">
        <f>ROUND(('3. Population-NSIP#'!C18*$G$18),0)</f>
        <v>0</v>
      </c>
      <c r="D38" s="68">
        <f>ROUND(('3. Population-NSIP#'!K18*$G$19),0)</f>
        <v>0</v>
      </c>
      <c r="E38" s="68">
        <v>0</v>
      </c>
      <c r="F38" s="93" t="e">
        <f t="shared" si="0"/>
        <v>#DIV/0!</v>
      </c>
      <c r="G38" s="18"/>
      <c r="J38" s="191"/>
      <c r="K38" s="196"/>
      <c r="L38" s="195"/>
    </row>
    <row r="39" spans="1:13" s="1" customFormat="1">
      <c r="A39" s="71" t="s">
        <v>29</v>
      </c>
      <c r="B39" s="69">
        <f>SUM(B23:B38)</f>
        <v>0</v>
      </c>
      <c r="C39" s="69">
        <f>SUM(C23:C38)</f>
        <v>0</v>
      </c>
      <c r="D39" s="69">
        <f>SUM(D23:D38)</f>
        <v>0</v>
      </c>
      <c r="E39" s="69">
        <f>SUM(E23:E38)</f>
        <v>0</v>
      </c>
      <c r="F39" s="72" t="e">
        <f>SUM(F23:F38)</f>
        <v>#DIV/0!</v>
      </c>
      <c r="G39" s="10"/>
      <c r="H39"/>
      <c r="I39"/>
      <c r="J39" s="191"/>
      <c r="K39" s="196"/>
      <c r="L39" s="195"/>
      <c r="M39"/>
    </row>
    <row r="40" spans="1:13">
      <c r="J40" s="191"/>
      <c r="K40" s="196"/>
      <c r="L40" s="195"/>
    </row>
    <row r="41" spans="1:13">
      <c r="J41" s="191"/>
      <c r="K41" s="196"/>
      <c r="L41" s="195"/>
    </row>
    <row r="42" spans="1:13">
      <c r="J42" s="191"/>
      <c r="L42" s="195"/>
    </row>
    <row r="43" spans="1:13">
      <c r="H43" s="894"/>
      <c r="I43" s="894"/>
      <c r="J43" s="191"/>
      <c r="K43" s="194"/>
      <c r="L43" s="195"/>
    </row>
    <row r="44" spans="1:13">
      <c r="J44" s="191"/>
    </row>
  </sheetData>
  <mergeCells count="1">
    <mergeCell ref="H43:I43"/>
  </mergeCells>
  <pageMargins left="0.75" right="0.75" top="1.5" bottom="0.5" header="0.25" footer="0.5"/>
  <pageSetup scale="71" orientation="landscape" r:id="rId1"/>
  <headerFooter alignWithMargins="0">
    <oddHeader xml:space="preserve">&amp;L&amp;G&amp;C&amp;"Arial Black,Bold"&amp;14AAA 2023-25 FUNDING ALLOCATION
</oddHeader>
    <oddFooter>&amp;R&amp;"Century Gothic,Regular"Page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B27E-D074-4020-8100-DAC9A67F75EA}">
  <dimension ref="A1:B22"/>
  <sheetViews>
    <sheetView tabSelected="1" zoomScaleNormal="100" workbookViewId="0">
      <selection activeCell="K12" sqref="K12"/>
    </sheetView>
  </sheetViews>
  <sheetFormatPr defaultRowHeight="18.75"/>
  <cols>
    <col min="1" max="1" width="91.42578125" style="716" bestFit="1" customWidth="1"/>
    <col min="2" max="2" width="35.5703125" style="803" bestFit="1" customWidth="1"/>
    <col min="3" max="16384" width="9.140625" style="716"/>
  </cols>
  <sheetData>
    <row r="1" spans="1:2" ht="24" thickBot="1">
      <c r="A1" s="720" t="s">
        <v>482</v>
      </c>
      <c r="B1" s="720" t="s">
        <v>545</v>
      </c>
    </row>
    <row r="2" spans="1:2" ht="19.5" thickTop="1">
      <c r="A2" s="717" t="s">
        <v>483</v>
      </c>
      <c r="B2" s="803" t="s">
        <v>546</v>
      </c>
    </row>
    <row r="3" spans="1:2">
      <c r="A3" s="717" t="s">
        <v>484</v>
      </c>
      <c r="B3" s="803" t="s">
        <v>547</v>
      </c>
    </row>
    <row r="4" spans="1:2">
      <c r="A4" s="717" t="s">
        <v>485</v>
      </c>
      <c r="B4" s="803" t="s">
        <v>548</v>
      </c>
    </row>
    <row r="5" spans="1:2">
      <c r="A5" s="718" t="s">
        <v>529</v>
      </c>
    </row>
    <row r="6" spans="1:2">
      <c r="A6" s="719" t="s">
        <v>532</v>
      </c>
      <c r="B6" s="803" t="s">
        <v>549</v>
      </c>
    </row>
    <row r="7" spans="1:2">
      <c r="A7" s="719" t="s">
        <v>533</v>
      </c>
      <c r="B7" s="803" t="s">
        <v>550</v>
      </c>
    </row>
    <row r="8" spans="1:2">
      <c r="A8" s="719" t="s">
        <v>534</v>
      </c>
      <c r="B8" s="803" t="s">
        <v>551</v>
      </c>
    </row>
    <row r="9" spans="1:2">
      <c r="A9" s="719" t="s">
        <v>535</v>
      </c>
      <c r="B9" s="803" t="s">
        <v>552</v>
      </c>
    </row>
    <row r="10" spans="1:2">
      <c r="A10" s="719" t="s">
        <v>536</v>
      </c>
      <c r="B10" s="803" t="s">
        <v>553</v>
      </c>
    </row>
    <row r="11" spans="1:2">
      <c r="A11" s="719" t="s">
        <v>563</v>
      </c>
      <c r="B11" s="803" t="s">
        <v>554</v>
      </c>
    </row>
    <row r="12" spans="1:2">
      <c r="A12" s="719" t="s">
        <v>537</v>
      </c>
      <c r="B12" s="803" t="s">
        <v>555</v>
      </c>
    </row>
    <row r="13" spans="1:2">
      <c r="A13" s="719" t="s">
        <v>486</v>
      </c>
      <c r="B13" s="803" t="s">
        <v>486</v>
      </c>
    </row>
    <row r="14" spans="1:2">
      <c r="A14" s="719" t="s">
        <v>538</v>
      </c>
      <c r="B14" s="803" t="s">
        <v>556</v>
      </c>
    </row>
    <row r="15" spans="1:2" hidden="1">
      <c r="A15" s="719" t="s">
        <v>487</v>
      </c>
    </row>
    <row r="16" spans="1:2">
      <c r="A16" s="719" t="s">
        <v>561</v>
      </c>
      <c r="B16" s="803" t="s">
        <v>557</v>
      </c>
    </row>
    <row r="17" spans="1:2">
      <c r="A17" s="719" t="s">
        <v>539</v>
      </c>
      <c r="B17" s="803" t="s">
        <v>558</v>
      </c>
    </row>
    <row r="18" spans="1:2">
      <c r="A18" s="719" t="s">
        <v>540</v>
      </c>
      <c r="B18" s="803" t="s">
        <v>559</v>
      </c>
    </row>
    <row r="19" spans="1:2">
      <c r="A19" s="717" t="s">
        <v>488</v>
      </c>
      <c r="B19" s="803" t="s">
        <v>488</v>
      </c>
    </row>
    <row r="20" spans="1:2">
      <c r="A20" s="717" t="s">
        <v>489</v>
      </c>
      <c r="B20" s="803" t="s">
        <v>560</v>
      </c>
    </row>
    <row r="21" spans="1:2">
      <c r="A21" s="717" t="s">
        <v>490</v>
      </c>
      <c r="B21" s="803" t="s">
        <v>490</v>
      </c>
    </row>
    <row r="22" spans="1:2">
      <c r="A22" s="717"/>
    </row>
  </sheetData>
  <sheetProtection algorithmName="SHA-512" hashValue="tZ6dKEJBLOryOV1xe2POWNt3A5YD92cl0AFBi0TxHMvDz4lYbJLiiVy5RUbtOGTBwc9aU9rlXhhKa9SfKOSiwg==" saltValue="jc5vjwH0v287wwmxwMgvpQ==" spinCount="100000" sheet="1" objects="1" scenarios="1"/>
  <hyperlinks>
    <hyperlink ref="A3" location="'4. Award History&amp;Projections '!A1" display="Award History &amp; Projections" xr:uid="{DF8B29BD-5A93-45FF-BA59-A7EF9AA0D4A5}"/>
    <hyperlink ref="A4" location="'5. Alloc Summary'!A1" display="Allocation Summary" xr:uid="{F61F12C6-6C1B-4796-85D8-AB4EDA7A1B0D}"/>
    <hyperlink ref="A6" location="'6. III B'!A1" display="III B - Support Services" xr:uid="{2A6CBE1C-EFDF-4366-9AE4-D4C8C67F49AF}"/>
    <hyperlink ref="A7" location="'7. III C-1'!A1" display="III C-1" xr:uid="{EFD1AEA3-A4BB-49E6-A050-7BAC808ECD80}"/>
    <hyperlink ref="A8" location="'8. III C-2'!A1" display="III C-2" xr:uid="{0FDF34A6-60FB-40F9-A849-87D28E735CDD}"/>
    <hyperlink ref="A9" location="'9. III D'!A1" display="III D - " xr:uid="{56946B82-02FB-4A41-8D41-37EA13458C99}"/>
    <hyperlink ref="A10" location="'10. III E'!A1" display="III E - " xr:uid="{F358E409-14C0-4A24-A194-813C497A7616}"/>
    <hyperlink ref="A11" location="'VII A-LTCO'!A1" display="VII A-LTCO - Elder Abuse and Ombudsmen" xr:uid="{A364BEF8-D3D2-4343-B0F4-61D3E82EAF79}"/>
    <hyperlink ref="A12" location="'11. VII B'!A1" display="VII B" xr:uid="{18C727AD-E1BA-4F36-B285-78B76D002412}"/>
    <hyperlink ref="A13" location="'21-23 Unspent-COVID'!A1" display="21-23 Unspent-COVID" xr:uid="{6FD30F4D-3503-4A59-A109-AEAD09FAB036}"/>
    <hyperlink ref="A14" location="'13. NSIP'!A1" display="NSIP" xr:uid="{E5B1CBD5-733E-474C-9E64-75E6DEB1EABB}"/>
    <hyperlink ref="A15" location="'No wrong door'!A1" display="No Wrong Door" xr:uid="{D746424E-4AFA-4CFB-A4C4-B9C26B388B4D}"/>
    <hyperlink ref="A17" location="'16. OPI 60+'!A1" display="OPI 60+" xr:uid="{987E70C2-1E6F-4CB7-BA50-3B29BA79B6FF}"/>
    <hyperlink ref="A18" location="'17. OPI 19-59'!A1" display="OPI 19-59" xr:uid="{C56F4329-68C6-46E0-A030-6525169F96E1}"/>
    <hyperlink ref="A2" location="'3. Population-NSIP#'!A1" display="Population-NSIP #" xr:uid="{088403A7-C9ED-49E5-BC42-E4E61EDA512F}"/>
    <hyperlink ref="A19" location="PopulationData!Print_Area" display="Population Data" xr:uid="{88FD1D3A-4FF5-4A5F-B38D-7CF33958BF95}"/>
    <hyperlink ref="A20" location="'Popul-ADRC sorted'!Print_Area" display="Population ADRC Sorted" xr:uid="{51EF8662-3D18-4A3C-A4C5-3C778701D533}"/>
    <hyperlink ref="A21" location="'Source Information'!Print_Area" display="Source Information" xr:uid="{15B754EF-87AB-41E0-8EB7-6D4DE4EA790A}"/>
    <hyperlink ref="A16" location="'14. SPA-Seq Mit.'!A1" display="Special Purpose Appropriation (SPA) Continued OAA Sequestration Mitigation" xr:uid="{050979CC-31C8-4B21-A8F0-83F52B413403}"/>
  </hyperlinks>
  <pageMargins left="0.75" right="0.75" top="1" bottom="0.5" header="0.25" footer="0.3"/>
  <pageSetup orientation="portrait" horizontalDpi="1200" verticalDpi="1200" r:id="rId1"/>
  <headerFooter>
    <oddHeader>&amp;L&amp;G&amp;C&amp;"-,Bold"&amp;16 2023-2025 planning allocation
to Area Agencies on Aging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2">
    <pageSetUpPr fitToPage="1"/>
  </sheetPr>
  <dimension ref="A1:K39"/>
  <sheetViews>
    <sheetView zoomScale="75" zoomScaleNormal="75" workbookViewId="0">
      <selection activeCell="A41" sqref="A41"/>
    </sheetView>
  </sheetViews>
  <sheetFormatPr defaultRowHeight="15"/>
  <cols>
    <col min="1" max="1" width="62" bestFit="1" customWidth="1" collapsed="1"/>
    <col min="2" max="3" width="13.85546875" style="18" customWidth="1" collapsed="1"/>
    <col min="4" max="4" width="17.42578125" style="325" customWidth="1" collapsed="1"/>
    <col min="5" max="5" width="11.7109375" style="18" bestFit="1" customWidth="1" collapsed="1"/>
    <col min="6" max="6" width="15" style="18" customWidth="1" collapsed="1"/>
    <col min="7" max="7" width="13.28515625" style="18" customWidth="1" collapsed="1"/>
    <col min="8" max="8" width="13.28515625" customWidth="1" collapsed="1"/>
    <col min="9" max="9" width="10.5703125" bestFit="1" customWidth="1" collapsed="1"/>
    <col min="11" max="11" width="9.140625" style="302"/>
  </cols>
  <sheetData>
    <row r="1" spans="1:11" s="64" customFormat="1" ht="54" customHeight="1">
      <c r="A1" s="87" t="s">
        <v>218</v>
      </c>
      <c r="B1" s="87" t="s">
        <v>22</v>
      </c>
      <c r="C1" s="87" t="s">
        <v>26</v>
      </c>
      <c r="D1" s="323" t="s">
        <v>26</v>
      </c>
      <c r="E1" s="87" t="s">
        <v>164</v>
      </c>
      <c r="F1" s="87" t="s">
        <v>305</v>
      </c>
      <c r="G1" s="87" t="s">
        <v>306</v>
      </c>
      <c r="H1" s="87" t="s">
        <v>307</v>
      </c>
      <c r="K1" s="317"/>
    </row>
    <row r="2" spans="1:11" ht="12.95" customHeight="1">
      <c r="A2" s="48" t="s">
        <v>217</v>
      </c>
      <c r="B2" s="18">
        <v>0</v>
      </c>
      <c r="C2" s="6">
        <v>0.25</v>
      </c>
      <c r="D2" s="324">
        <v>0.25</v>
      </c>
      <c r="E2" s="18">
        <f>B2*C2</f>
        <v>0</v>
      </c>
      <c r="H2" s="18">
        <f>SUM(E2:G2)</f>
        <v>0</v>
      </c>
    </row>
    <row r="3" spans="1:11" ht="12.95" customHeight="1">
      <c r="A3" s="48" t="s">
        <v>319</v>
      </c>
      <c r="B3" s="18">
        <v>0</v>
      </c>
      <c r="C3" s="6">
        <v>1</v>
      </c>
      <c r="D3" s="324">
        <v>1</v>
      </c>
      <c r="F3" s="18">
        <f>B3*D3</f>
        <v>0</v>
      </c>
      <c r="H3" s="18">
        <f>SUM(E3:G3)</f>
        <v>0</v>
      </c>
    </row>
    <row r="4" spans="1:11" ht="12.95" customHeight="1">
      <c r="A4" s="48" t="s">
        <v>320</v>
      </c>
      <c r="B4" s="18">
        <v>0</v>
      </c>
      <c r="C4" s="6">
        <v>0.75</v>
      </c>
      <c r="D4" s="324">
        <v>0.75</v>
      </c>
      <c r="E4" s="8"/>
      <c r="F4" s="8"/>
      <c r="G4" s="8">
        <f>B4*D4</f>
        <v>0</v>
      </c>
      <c r="H4" s="8">
        <f>SUM(E4:G4)</f>
        <v>0</v>
      </c>
    </row>
    <row r="5" spans="1:11" ht="12.95" customHeight="1">
      <c r="A5" s="48" t="s">
        <v>23</v>
      </c>
      <c r="H5" s="18">
        <f>SUM(H2:H4)</f>
        <v>0</v>
      </c>
    </row>
    <row r="6" spans="1:11" ht="12.95" customHeight="1">
      <c r="A6" s="48" t="s">
        <v>24</v>
      </c>
      <c r="C6" s="42">
        <v>0</v>
      </c>
      <c r="D6" s="324">
        <v>0</v>
      </c>
      <c r="E6" s="18">
        <v>0</v>
      </c>
      <c r="F6" s="18">
        <v>0</v>
      </c>
      <c r="G6" s="18">
        <v>0</v>
      </c>
      <c r="H6" s="12">
        <f>SUM(E6:G6)</f>
        <v>0</v>
      </c>
    </row>
    <row r="7" spans="1:11" ht="12.95" customHeight="1">
      <c r="A7" s="190" t="s">
        <v>312</v>
      </c>
      <c r="C7" s="42">
        <v>0</v>
      </c>
      <c r="D7" s="324">
        <v>0</v>
      </c>
      <c r="E7" s="90">
        <v>0</v>
      </c>
      <c r="F7" s="90">
        <v>0</v>
      </c>
      <c r="G7" s="90">
        <v>0</v>
      </c>
      <c r="H7" s="18">
        <f>SUM(E7:G7)</f>
        <v>0</v>
      </c>
    </row>
    <row r="8" spans="1:11" ht="12.95" customHeight="1">
      <c r="A8" s="48" t="s">
        <v>23</v>
      </c>
      <c r="E8" s="18">
        <f>SUM(E5:E7)</f>
        <v>0</v>
      </c>
      <c r="F8" s="18">
        <v>0</v>
      </c>
      <c r="G8" s="18">
        <f>SUM(G5:G7)</f>
        <v>0</v>
      </c>
      <c r="H8" s="322">
        <f>SUM(E8:G8)</f>
        <v>0</v>
      </c>
    </row>
    <row r="9" spans="1:11" ht="12.95" customHeight="1">
      <c r="A9" s="51"/>
      <c r="C9" s="6"/>
      <c r="D9" s="324"/>
      <c r="H9" s="18"/>
    </row>
    <row r="10" spans="1:11" s="15" customFormat="1" ht="12.95" customHeight="1">
      <c r="A10" s="53" t="s">
        <v>35</v>
      </c>
      <c r="B10" s="52"/>
      <c r="C10" s="18"/>
      <c r="D10" s="325"/>
      <c r="E10" s="17"/>
      <c r="F10" s="17"/>
      <c r="G10" s="17"/>
      <c r="H10" s="17">
        <v>0</v>
      </c>
      <c r="K10" s="318"/>
    </row>
    <row r="11" spans="1:11" s="1" customFormat="1" ht="12.95" customHeight="1" thickBot="1">
      <c r="A11" s="46" t="s">
        <v>29</v>
      </c>
      <c r="B11" s="10"/>
      <c r="C11" s="10"/>
      <c r="D11" s="326"/>
      <c r="E11" s="14"/>
      <c r="F11" s="14"/>
      <c r="G11" s="14"/>
      <c r="H11" s="11">
        <f>H5+H8</f>
        <v>0</v>
      </c>
      <c r="K11" s="319"/>
    </row>
    <row r="12" spans="1:11" s="83" customFormat="1" ht="12.95" customHeight="1" thickTop="1">
      <c r="B12" s="81"/>
      <c r="C12" s="81"/>
      <c r="D12" s="327"/>
      <c r="E12" s="82"/>
      <c r="F12" s="82"/>
      <c r="G12" s="82"/>
      <c r="H12" s="82"/>
      <c r="K12" s="320"/>
    </row>
    <row r="13" spans="1:11" ht="12.95" customHeight="1">
      <c r="A13" s="63" t="s">
        <v>144</v>
      </c>
      <c r="H13" s="18"/>
    </row>
    <row r="14" spans="1:11" ht="12.95" customHeight="1">
      <c r="A14" s="48" t="s">
        <v>80</v>
      </c>
      <c r="B14" s="18">
        <v>0</v>
      </c>
      <c r="D14" s="325">
        <v>16</v>
      </c>
      <c r="H14" s="18">
        <f>B14*D14</f>
        <v>0</v>
      </c>
      <c r="I14" s="12"/>
    </row>
    <row r="15" spans="1:11" ht="12.95" customHeight="1">
      <c r="A15" s="48" t="s">
        <v>28</v>
      </c>
      <c r="C15" s="5">
        <v>0</v>
      </c>
      <c r="D15" s="324">
        <v>0</v>
      </c>
      <c r="H15" s="18">
        <f>ROUND((H11-H14)*D15,0)</f>
        <v>0</v>
      </c>
    </row>
    <row r="16" spans="1:11" ht="12.95" customHeight="1">
      <c r="A16" s="48" t="s">
        <v>37</v>
      </c>
      <c r="C16" s="5">
        <v>1</v>
      </c>
      <c r="D16" s="324">
        <v>1</v>
      </c>
      <c r="H16" s="18">
        <f>H11-H14-0.01</f>
        <v>-0.01</v>
      </c>
    </row>
    <row r="17" spans="1:11" s="1" customFormat="1" ht="12.95" customHeight="1" thickBot="1">
      <c r="A17" s="46" t="s">
        <v>29</v>
      </c>
      <c r="B17" s="10"/>
      <c r="C17" s="10"/>
      <c r="D17" s="326"/>
      <c r="E17" s="10"/>
      <c r="F17" s="10"/>
      <c r="G17" s="10"/>
      <c r="H17" s="11">
        <f>SUM(H14:H16)</f>
        <v>-0.01</v>
      </c>
      <c r="K17" s="319"/>
    </row>
    <row r="18" spans="1:11" s="77" customFormat="1" ht="6.75" customHeight="1" thickTop="1">
      <c r="B18" s="78"/>
      <c r="C18" s="78"/>
      <c r="D18" s="328"/>
      <c r="E18" s="78"/>
      <c r="F18" s="78"/>
      <c r="G18" s="78"/>
      <c r="K18" s="321"/>
    </row>
    <row r="19" spans="1:11" s="64" customFormat="1" ht="90">
      <c r="A19" s="84" t="s">
        <v>58</v>
      </c>
      <c r="B19" s="84" t="s">
        <v>191</v>
      </c>
      <c r="C19" s="84" t="s">
        <v>203</v>
      </c>
      <c r="D19" s="329" t="s">
        <v>235</v>
      </c>
      <c r="E19" s="88" t="s">
        <v>204</v>
      </c>
      <c r="F19" s="97"/>
      <c r="G19" s="100"/>
      <c r="H19" s="94"/>
      <c r="K19" s="317"/>
    </row>
    <row r="20" spans="1:11">
      <c r="A20" s="103" t="s">
        <v>72</v>
      </c>
      <c r="B20" s="311"/>
      <c r="C20" s="311">
        <f>'3. Population-NSIP#'!G3*$H$16</f>
        <v>-3.5568576624560994E-4</v>
      </c>
      <c r="D20" s="330">
        <f t="shared" ref="D20:D35" si="0">SUM(B20+C20)</f>
        <v>-3.5568576624560994E-4</v>
      </c>
      <c r="E20" s="93">
        <v>0</v>
      </c>
      <c r="F20" s="98"/>
      <c r="G20" s="101"/>
      <c r="H20" s="95"/>
    </row>
    <row r="21" spans="1:11">
      <c r="A21" s="103" t="s">
        <v>61</v>
      </c>
      <c r="B21" s="311"/>
      <c r="C21" s="311">
        <f>'3. Population-NSIP#'!G4*$H$16</f>
        <v>-1.1281126537238784E-4</v>
      </c>
      <c r="D21" s="330">
        <f t="shared" si="0"/>
        <v>-1.1281126537238784E-4</v>
      </c>
      <c r="E21" s="93">
        <v>0</v>
      </c>
      <c r="F21" s="98"/>
      <c r="G21" s="13"/>
      <c r="H21" s="95"/>
    </row>
    <row r="22" spans="1:11">
      <c r="A22" s="103" t="s">
        <v>73</v>
      </c>
      <c r="B22" s="311"/>
      <c r="C22" s="311">
        <f>'3. Population-NSIP#'!G5*$H$16</f>
        <v>-1.8578738442922519E-4</v>
      </c>
      <c r="D22" s="311">
        <f>SUM(B22+C22)</f>
        <v>-1.8578738442922519E-4</v>
      </c>
      <c r="E22" s="93">
        <v>0</v>
      </c>
      <c r="F22" s="98"/>
      <c r="G22" s="13"/>
      <c r="H22" s="95"/>
    </row>
    <row r="23" spans="1:11">
      <c r="A23" s="103" t="s">
        <v>60</v>
      </c>
      <c r="B23" s="311"/>
      <c r="C23" s="311">
        <f>'3. Population-NSIP#'!G6*$H$16</f>
        <v>-8.7766529760989768E-4</v>
      </c>
      <c r="D23" s="330">
        <f t="shared" si="0"/>
        <v>-8.7766529760989768E-4</v>
      </c>
      <c r="E23" s="93">
        <v>0</v>
      </c>
      <c r="F23" s="98"/>
      <c r="G23" s="13"/>
      <c r="H23" s="95"/>
    </row>
    <row r="24" spans="1:11">
      <c r="A24" s="103" t="s">
        <v>70</v>
      </c>
      <c r="B24" s="311"/>
      <c r="C24" s="311">
        <f>'3. Population-NSIP#'!G7*$H$16</f>
        <v>-5.7846103673700499E-4</v>
      </c>
      <c r="D24" s="330">
        <f t="shared" si="0"/>
        <v>-5.7846103673700499E-4</v>
      </c>
      <c r="E24" s="93">
        <v>0</v>
      </c>
      <c r="F24" s="98"/>
      <c r="G24" s="13"/>
      <c r="H24" s="95"/>
    </row>
    <row r="25" spans="1:11">
      <c r="A25" s="103" t="s">
        <v>169</v>
      </c>
      <c r="B25" s="311"/>
      <c r="C25" s="311">
        <f>'3. Population-NSIP#'!G8*$H$16</f>
        <v>-4.0132440898643738E-4</v>
      </c>
      <c r="D25" s="330">
        <f t="shared" si="0"/>
        <v>-4.0132440898643738E-4</v>
      </c>
      <c r="E25" s="93">
        <v>0</v>
      </c>
      <c r="F25" s="98"/>
      <c r="G25" s="13"/>
      <c r="H25" s="95"/>
    </row>
    <row r="26" spans="1:11">
      <c r="A26" s="103" t="s">
        <v>74</v>
      </c>
      <c r="B26" s="311"/>
      <c r="C26" s="311">
        <f>'3. Population-NSIP#'!G9*$H$16</f>
        <v>-2.3337211402252251E-5</v>
      </c>
      <c r="D26" s="330">
        <f t="shared" si="0"/>
        <v>-2.3337211402252251E-5</v>
      </c>
      <c r="E26" s="93">
        <v>0</v>
      </c>
      <c r="F26" s="98"/>
      <c r="G26" s="13"/>
      <c r="H26" s="95"/>
    </row>
    <row r="27" spans="1:11">
      <c r="A27" s="103" t="s">
        <v>71</v>
      </c>
      <c r="B27" s="311"/>
      <c r="C27" s="311">
        <f>'3. Population-NSIP#'!G10*$H$16</f>
        <v>-2.3844056270752467E-4</v>
      </c>
      <c r="D27" s="330">
        <f t="shared" si="0"/>
        <v>-2.3844056270752467E-4</v>
      </c>
      <c r="E27" s="93">
        <v>0</v>
      </c>
      <c r="F27" s="98"/>
      <c r="G27" s="13"/>
      <c r="H27" s="95"/>
    </row>
    <row r="28" spans="1:11">
      <c r="A28" s="103" t="s">
        <v>65</v>
      </c>
      <c r="B28" s="311"/>
      <c r="C28" s="311">
        <f>'3. Population-NSIP#'!G11*$H$16</f>
        <v>-9.2153893124952298E-4</v>
      </c>
      <c r="D28" s="330">
        <f t="shared" si="0"/>
        <v>-9.2153893124952298E-4</v>
      </c>
      <c r="E28" s="93">
        <v>0</v>
      </c>
      <c r="F28" s="98"/>
      <c r="G28" s="13"/>
      <c r="H28" s="95"/>
    </row>
    <row r="29" spans="1:11">
      <c r="A29" s="103" t="s">
        <v>221</v>
      </c>
      <c r="B29" s="311"/>
      <c r="C29" s="311">
        <f>'3. Population-NSIP#'!G12*$H$16</f>
        <v>-1.5782059508518543E-3</v>
      </c>
      <c r="D29" s="330">
        <f t="shared" si="0"/>
        <v>-1.5782059508518543E-3</v>
      </c>
      <c r="E29" s="93">
        <v>0</v>
      </c>
      <c r="F29" s="98"/>
      <c r="G29" s="13"/>
      <c r="H29" s="95"/>
    </row>
    <row r="30" spans="1:11">
      <c r="A30" s="103" t="s">
        <v>75</v>
      </c>
      <c r="B30" s="311"/>
      <c r="C30" s="311">
        <f>'3. Population-NSIP#'!G13*$H$16</f>
        <v>-9.1121846007663105E-5</v>
      </c>
      <c r="D30" s="330">
        <f t="shared" si="0"/>
        <v>-9.1121846007663105E-5</v>
      </c>
      <c r="E30" s="93">
        <v>0</v>
      </c>
      <c r="F30" s="98"/>
      <c r="G30" s="13"/>
      <c r="H30" s="95"/>
    </row>
    <row r="31" spans="1:11">
      <c r="A31" s="103" t="s">
        <v>59</v>
      </c>
      <c r="B31" s="311"/>
      <c r="C31" s="311">
        <f>'3. Population-NSIP#'!G14*$H$16</f>
        <v>-1.4320565634713734E-3</v>
      </c>
      <c r="D31" s="330">
        <f t="shared" si="0"/>
        <v>-1.4320565634713734E-3</v>
      </c>
      <c r="E31" s="93">
        <v>0</v>
      </c>
      <c r="F31" s="98"/>
      <c r="G31" s="13"/>
      <c r="H31" s="95"/>
    </row>
    <row r="32" spans="1:11">
      <c r="A32" s="103" t="s">
        <v>64</v>
      </c>
      <c r="B32" s="311"/>
      <c r="C32" s="311">
        <f>'3. Population-NSIP#'!G15*$H$16</f>
        <v>-6.852085819094002E-4</v>
      </c>
      <c r="D32" s="330">
        <f t="shared" si="0"/>
        <v>-6.852085819094002E-4</v>
      </c>
      <c r="E32" s="93">
        <v>0</v>
      </c>
      <c r="F32" s="98"/>
      <c r="G32" s="13"/>
      <c r="H32" s="95"/>
    </row>
    <row r="33" spans="1:11">
      <c r="A33" s="103" t="s">
        <v>68</v>
      </c>
      <c r="B33" s="311"/>
      <c r="C33" s="311">
        <f>'3. Population-NSIP#'!G16*$H$16</f>
        <v>-1.0147008003468854E-3</v>
      </c>
      <c r="D33" s="330">
        <f t="shared" si="0"/>
        <v>-1.0147008003468854E-3</v>
      </c>
      <c r="E33" s="93">
        <v>0</v>
      </c>
      <c r="F33" s="98"/>
      <c r="G33" s="13"/>
      <c r="H33" s="95"/>
    </row>
    <row r="34" spans="1:11">
      <c r="A34" s="103" t="s">
        <v>67</v>
      </c>
      <c r="B34" s="311"/>
      <c r="C34" s="311">
        <f>'3. Population-NSIP#'!G17*$H$16</f>
        <v>-3.3034295742656198E-4</v>
      </c>
      <c r="D34" s="330">
        <f t="shared" si="0"/>
        <v>-3.3034295742656198E-4</v>
      </c>
      <c r="E34" s="93">
        <v>0</v>
      </c>
      <c r="F34" s="98"/>
      <c r="G34" s="13"/>
      <c r="H34" s="95"/>
    </row>
    <row r="35" spans="1:11">
      <c r="A35" s="103" t="s">
        <v>63</v>
      </c>
      <c r="B35" s="311"/>
      <c r="C35" s="311">
        <f>'3. Population-NSIP#'!G18*$H$16</f>
        <v>-1.1733114352463999E-3</v>
      </c>
      <c r="D35" s="330">
        <f t="shared" si="0"/>
        <v>-1.1733114352463999E-3</v>
      </c>
      <c r="E35" s="93">
        <v>0</v>
      </c>
      <c r="F35" s="98"/>
      <c r="G35" s="13"/>
      <c r="H35" s="95"/>
    </row>
    <row r="36" spans="1:11" s="1" customFormat="1">
      <c r="A36" s="71" t="s">
        <v>29</v>
      </c>
      <c r="B36" s="69">
        <f>SUM(B20:B35)</f>
        <v>0</v>
      </c>
      <c r="C36" s="69">
        <f>SUM(C20:C35)</f>
        <v>-0.01</v>
      </c>
      <c r="D36" s="331">
        <f>SUM(D20:D35)</f>
        <v>-0.01</v>
      </c>
      <c r="E36" s="73">
        <f>SUM(E20:E35)</f>
        <v>0</v>
      </c>
      <c r="F36" s="99"/>
      <c r="G36" s="102"/>
      <c r="H36" s="96"/>
      <c r="K36" s="319"/>
    </row>
    <row r="38" spans="1:11">
      <c r="A38" s="359"/>
      <c r="C38" s="304" t="s">
        <v>213</v>
      </c>
    </row>
    <row r="39" spans="1:11">
      <c r="D39" s="355"/>
    </row>
  </sheetData>
  <pageMargins left="0.75" right="0.75" top="1.5" bottom="0.5" header="0.25" footer="0.5"/>
  <pageSetup scale="75" orientation="landscape" r:id="rId1"/>
  <headerFooter alignWithMargins="0">
    <oddHeader xml:space="preserve">&amp;L&amp;G&amp;C&amp;"Arial Black,Bold"&amp;14
AAA 2019-2021 PLANNING ALLOCATION
Amendment 1
</oddHeader>
    <oddFooter>&amp;R&amp;"Century Gothic,Regular"Page &amp;P</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99CC"/>
    <pageSetUpPr fitToPage="1"/>
  </sheetPr>
  <dimension ref="A1:M42"/>
  <sheetViews>
    <sheetView topLeftCell="A16" zoomScaleNormal="100" workbookViewId="0">
      <selection activeCell="F40" sqref="F40"/>
    </sheetView>
  </sheetViews>
  <sheetFormatPr defaultRowHeight="15"/>
  <cols>
    <col min="1" max="1" width="62" bestFit="1" customWidth="1" collapsed="1"/>
    <col min="2" max="2" width="15.42578125" style="18" customWidth="1" collapsed="1"/>
    <col min="3" max="3" width="16.5703125" style="18" customWidth="1" collapsed="1"/>
    <col min="4" max="4" width="15.42578125" style="18" customWidth="1" collapsed="1"/>
    <col min="5" max="5" width="12.7109375" style="18" bestFit="1" customWidth="1" collapsed="1"/>
    <col min="6" max="6" width="11.5703125" style="18" bestFit="1"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64" customFormat="1" ht="36">
      <c r="A1" s="706" t="s">
        <v>405</v>
      </c>
      <c r="B1" s="706" t="s">
        <v>22</v>
      </c>
      <c r="C1" s="706" t="s">
        <v>26</v>
      </c>
      <c r="D1" s="706" t="s">
        <v>375</v>
      </c>
      <c r="E1" s="706" t="s">
        <v>389</v>
      </c>
      <c r="F1" s="706" t="s">
        <v>390</v>
      </c>
      <c r="G1" s="706" t="s">
        <v>391</v>
      </c>
    </row>
    <row r="2" spans="1:9" ht="12.95" customHeight="1">
      <c r="A2" s="190" t="s">
        <v>320</v>
      </c>
      <c r="B2" s="304">
        <f>2976251.38*0.5</f>
        <v>1488125.69</v>
      </c>
      <c r="C2" s="6">
        <v>0.25</v>
      </c>
      <c r="D2" s="18">
        <f>ROUND(B2*C2,0)</f>
        <v>372031</v>
      </c>
      <c r="G2" s="18">
        <f>SUM(D2:F2)</f>
        <v>372031</v>
      </c>
    </row>
    <row r="3" spans="1:9" ht="12.95" customHeight="1">
      <c r="A3" s="190" t="s">
        <v>392</v>
      </c>
      <c r="B3" s="304">
        <f t="shared" ref="B3:B4" si="0">2976251.38*0.5</f>
        <v>1488125.69</v>
      </c>
      <c r="C3" s="6">
        <v>1</v>
      </c>
      <c r="E3" s="18">
        <f>ROUND(B3*C3,0)</f>
        <v>1488126</v>
      </c>
      <c r="G3" s="18">
        <f>SUM(D3:F3)</f>
        <v>1488126</v>
      </c>
    </row>
    <row r="4" spans="1:9" ht="12.95" customHeight="1">
      <c r="A4" s="190" t="s">
        <v>393</v>
      </c>
      <c r="B4" s="304">
        <f t="shared" si="0"/>
        <v>1488125.69</v>
      </c>
      <c r="C4" s="6">
        <v>0.75</v>
      </c>
      <c r="D4" s="8"/>
      <c r="E4" s="8"/>
      <c r="F4" s="8">
        <f>ROUND(B4*C4,0)</f>
        <v>1116094</v>
      </c>
      <c r="G4" s="8">
        <f>SUM(D4:F4)</f>
        <v>1116094</v>
      </c>
      <c r="I4" s="303"/>
    </row>
    <row r="5" spans="1:9" ht="12.95" customHeight="1">
      <c r="A5" s="190" t="s">
        <v>23</v>
      </c>
      <c r="D5" s="18">
        <f>SUM(D2:D4)</f>
        <v>372031</v>
      </c>
      <c r="E5" s="18">
        <f>SUM(E2:E4)</f>
        <v>1488126</v>
      </c>
      <c r="F5" s="18">
        <f>SUM(F2:F4)</f>
        <v>1116094</v>
      </c>
      <c r="G5" s="18">
        <f>SUM(G2:G4)</f>
        <v>2976251</v>
      </c>
      <c r="I5" s="302"/>
    </row>
    <row r="6" spans="1:9" ht="12.95" customHeight="1">
      <c r="A6" s="190" t="s">
        <v>24</v>
      </c>
      <c r="C6" s="5">
        <v>0</v>
      </c>
      <c r="D6" s="8">
        <f>ROUND($C$6*-D5,0)</f>
        <v>0</v>
      </c>
      <c r="E6" s="8">
        <f>ROUND($C$6*-E5,0)</f>
        <v>0</v>
      </c>
      <c r="F6" s="8">
        <f>ROUND($C$6*-F5,0)</f>
        <v>0</v>
      </c>
      <c r="G6" s="8">
        <f>SUM(D6:F6)</f>
        <v>0</v>
      </c>
      <c r="I6" s="303"/>
    </row>
    <row r="7" spans="1:9" ht="12.95" customHeight="1">
      <c r="A7" s="190" t="s">
        <v>23</v>
      </c>
      <c r="D7" s="18">
        <f>SUM(D5:D6)</f>
        <v>372031</v>
      </c>
      <c r="E7" s="18">
        <f>SUM(E5:E6)</f>
        <v>1488126</v>
      </c>
      <c r="F7" s="18">
        <f>SUM(F5:F6)</f>
        <v>1116094</v>
      </c>
      <c r="G7" s="18">
        <f>SUM(G5:G6)</f>
        <v>2976251</v>
      </c>
    </row>
    <row r="8" spans="1:9" ht="12.95" customHeight="1">
      <c r="A8" s="51"/>
      <c r="B8" s="18">
        <v>0</v>
      </c>
      <c r="C8" s="6">
        <v>0.25</v>
      </c>
      <c r="D8" s="18">
        <f>ROUND(B8*C8,0)</f>
        <v>0</v>
      </c>
      <c r="G8" s="18">
        <f>SUM(D8:F8)</f>
        <v>0</v>
      </c>
      <c r="I8" s="142"/>
    </row>
    <row r="9" spans="1:9" ht="12.95" customHeight="1">
      <c r="A9" s="51"/>
      <c r="B9" s="18">
        <v>0</v>
      </c>
      <c r="C9" s="6">
        <v>1</v>
      </c>
      <c r="E9" s="18">
        <f>ROUND(B9*C9,0)</f>
        <v>0</v>
      </c>
      <c r="G9" s="18">
        <f>SUM(D9:F9)</f>
        <v>0</v>
      </c>
      <c r="I9" s="310"/>
    </row>
    <row r="10" spans="1:9" ht="12.95" customHeight="1">
      <c r="A10" s="51"/>
      <c r="B10" s="18">
        <v>0</v>
      </c>
      <c r="C10" s="6">
        <v>0.75</v>
      </c>
      <c r="D10" s="8"/>
      <c r="E10" s="8"/>
      <c r="F10" s="8">
        <f>ROUND(B10*C10,0)</f>
        <v>0</v>
      </c>
      <c r="G10" s="8">
        <f>SUM(D10:F10)</f>
        <v>0</v>
      </c>
    </row>
    <row r="11" spans="1:9" ht="12.95" customHeight="1">
      <c r="A11" s="53"/>
      <c r="C11" s="6"/>
      <c r="D11" s="13">
        <f>SUM(D8:D10)</f>
        <v>0</v>
      </c>
      <c r="E11" s="13">
        <f>SUM(E8:E10)</f>
        <v>0</v>
      </c>
      <c r="F11" s="13">
        <f>SUM(F8:F10)</f>
        <v>0</v>
      </c>
      <c r="G11" s="13">
        <f>SUM(G8:G10)</f>
        <v>0</v>
      </c>
    </row>
    <row r="12" spans="1:9" s="143" customFormat="1" ht="12.95" customHeight="1">
      <c r="A12" s="43" t="s">
        <v>23</v>
      </c>
      <c r="B12" s="18"/>
      <c r="C12" s="18"/>
      <c r="D12" s="16">
        <f>SUM(D7:D10)</f>
        <v>372031</v>
      </c>
      <c r="E12" s="16">
        <f>SUM(E7:E10)</f>
        <v>1488126</v>
      </c>
      <c r="F12" s="16">
        <f>SUM(F7:F10)</f>
        <v>1116094</v>
      </c>
      <c r="G12" s="16">
        <f>SUM(G7:G10)</f>
        <v>2976251</v>
      </c>
    </row>
    <row r="13" spans="1:9" s="143" customFormat="1" ht="12.95" customHeight="1">
      <c r="A13" s="53"/>
      <c r="B13" s="18"/>
      <c r="C13" s="18"/>
      <c r="D13" s="144"/>
      <c r="E13" s="144"/>
      <c r="F13" s="144"/>
      <c r="G13" s="144">
        <v>0</v>
      </c>
    </row>
    <row r="14" spans="1:9" s="1" customFormat="1" ht="12.95" customHeight="1" thickBot="1">
      <c r="A14" s="46" t="s">
        <v>29</v>
      </c>
      <c r="B14" s="10"/>
      <c r="C14" s="10"/>
      <c r="D14" s="14"/>
      <c r="E14" s="14"/>
      <c r="F14" s="14"/>
      <c r="G14" s="11">
        <f>SUM(G12:G13)</f>
        <v>2976251</v>
      </c>
    </row>
    <row r="15" spans="1:9" s="686" customFormat="1" ht="12.95" customHeight="1" thickTop="1">
      <c r="A15" s="83"/>
      <c r="B15" s="81"/>
      <c r="C15" s="81"/>
      <c r="D15" s="82"/>
      <c r="E15" s="82"/>
      <c r="F15" s="82"/>
      <c r="G15" s="82"/>
    </row>
    <row r="16" spans="1:9" ht="12.95" customHeight="1">
      <c r="A16" s="63" t="s">
        <v>144</v>
      </c>
      <c r="G16" s="18"/>
    </row>
    <row r="17" spans="1:8" ht="12.95" customHeight="1">
      <c r="A17" s="76" t="s">
        <v>36</v>
      </c>
      <c r="B17" s="18">
        <v>0</v>
      </c>
      <c r="C17" s="18">
        <v>0</v>
      </c>
      <c r="G17" s="18">
        <f>B17*C17</f>
        <v>0</v>
      </c>
      <c r="H17" s="12"/>
    </row>
    <row r="18" spans="1:8" ht="12.95" customHeight="1">
      <c r="A18" s="190" t="s">
        <v>28</v>
      </c>
      <c r="C18" s="5">
        <v>0.05</v>
      </c>
      <c r="G18" s="18">
        <f>ROUND((G14-G17)*C18,0)</f>
        <v>148813</v>
      </c>
    </row>
    <row r="19" spans="1:8" ht="12.95" customHeight="1">
      <c r="A19" s="190" t="s">
        <v>37</v>
      </c>
      <c r="C19" s="5">
        <v>0.95</v>
      </c>
      <c r="G19" s="18">
        <f>G14-G17-G18</f>
        <v>2827438</v>
      </c>
    </row>
    <row r="20" spans="1:8" s="1" customFormat="1" ht="12.95" customHeight="1" thickBot="1">
      <c r="A20" s="46" t="s">
        <v>29</v>
      </c>
      <c r="B20" s="10"/>
      <c r="C20" s="10"/>
      <c r="D20" s="10"/>
      <c r="E20" s="10"/>
      <c r="F20" s="10"/>
      <c r="G20" s="11">
        <f>SUM(G17:G19)</f>
        <v>2976251</v>
      </c>
    </row>
    <row r="21" spans="1:8" s="169" customFormat="1" ht="6.75" customHeight="1" thickTop="1">
      <c r="A21" s="77"/>
      <c r="B21" s="78"/>
      <c r="C21" s="78"/>
      <c r="D21" s="78"/>
      <c r="E21" s="78"/>
      <c r="F21" s="78"/>
      <c r="G21" s="77"/>
    </row>
    <row r="22" spans="1:8" s="64" customFormat="1" ht="90">
      <c r="A22" s="84" t="s">
        <v>58</v>
      </c>
      <c r="B22" s="84" t="s">
        <v>202</v>
      </c>
      <c r="C22" s="84" t="s">
        <v>203</v>
      </c>
      <c r="D22" s="486" t="s">
        <v>406</v>
      </c>
      <c r="E22" s="487" t="s">
        <v>528</v>
      </c>
      <c r="F22" s="84" t="s">
        <v>310</v>
      </c>
      <c r="G22" s="85" t="s">
        <v>204</v>
      </c>
    </row>
    <row r="23" spans="1:8">
      <c r="A23" s="103" t="s">
        <v>72</v>
      </c>
      <c r="B23" s="68">
        <f>ROUND(('3. Population-NSIP#'!C3*$G$18),0)</f>
        <v>18439</v>
      </c>
      <c r="C23" s="68">
        <f>ROUND(('3. Population-NSIP#'!E3*$G$19),0)</f>
        <v>99030</v>
      </c>
      <c r="D23" s="308">
        <f t="shared" ref="D23:D39" si="1">SUM(B23:C23)</f>
        <v>117469</v>
      </c>
      <c r="E23" s="488">
        <f>D23*10.2%</f>
        <v>11981.838</v>
      </c>
      <c r="F23" s="68">
        <f t="shared" ref="F23:F39" si="2">D23-E23</f>
        <v>105487.162</v>
      </c>
      <c r="G23" s="93">
        <f t="shared" ref="G23:G39" si="3">D23/$D$40</f>
        <v>3.9468768101625806E-2</v>
      </c>
    </row>
    <row r="24" spans="1:8">
      <c r="A24" s="103" t="s">
        <v>61</v>
      </c>
      <c r="B24" s="68">
        <f>ROUND(('3. Population-NSIP#'!C4*$G$18),0)</f>
        <v>1019</v>
      </c>
      <c r="C24" s="68">
        <f>ROUND(('3. Population-NSIP#'!E4*$G$19),0)</f>
        <v>37048</v>
      </c>
      <c r="D24" s="68">
        <f t="shared" si="1"/>
        <v>38067</v>
      </c>
      <c r="E24" s="488"/>
      <c r="F24" s="68">
        <f t="shared" si="2"/>
        <v>38067</v>
      </c>
      <c r="G24" s="93">
        <f t="shared" si="3"/>
        <v>1.2790247600001612E-2</v>
      </c>
    </row>
    <row r="25" spans="1:8">
      <c r="A25" s="103" t="s">
        <v>73</v>
      </c>
      <c r="B25" s="68">
        <f>ROUND(('3. Population-NSIP#'!C5*$G$18),0)</f>
        <v>19813</v>
      </c>
      <c r="C25" s="68">
        <f>ROUND(('3. Population-NSIP#'!E5*$G$19),0)</f>
        <v>53636</v>
      </c>
      <c r="D25" s="308">
        <f t="shared" si="1"/>
        <v>73449</v>
      </c>
      <c r="E25" s="488">
        <f t="shared" ref="E25:E32" si="4">D25*10.2%</f>
        <v>7491.7979999999998</v>
      </c>
      <c r="F25" s="68">
        <f t="shared" si="2"/>
        <v>65957.202000000005</v>
      </c>
      <c r="G25" s="93">
        <f t="shared" si="3"/>
        <v>2.4678353849069232E-2</v>
      </c>
    </row>
    <row r="26" spans="1:8">
      <c r="A26" s="103" t="s">
        <v>60</v>
      </c>
      <c r="B26" s="68">
        <f>ROUND(('3. Population-NSIP#'!C6*$G$18),0)</f>
        <v>2900</v>
      </c>
      <c r="C26" s="68">
        <f>ROUND(('3. Population-NSIP#'!E6*$G$19),0)</f>
        <v>296377</v>
      </c>
      <c r="D26" s="308">
        <f t="shared" si="1"/>
        <v>299277</v>
      </c>
      <c r="E26" s="488">
        <f t="shared" si="4"/>
        <v>30526.253999999997</v>
      </c>
      <c r="F26" s="68">
        <f t="shared" si="2"/>
        <v>268750.74599999998</v>
      </c>
      <c r="G26" s="93">
        <f t="shared" si="3"/>
        <v>0.10055499332717795</v>
      </c>
    </row>
    <row r="27" spans="1:8">
      <c r="A27" s="103" t="s">
        <v>70</v>
      </c>
      <c r="B27" s="68">
        <f>ROUND(('3. Population-NSIP#'!C7*$G$18),0)</f>
        <v>12059</v>
      </c>
      <c r="C27" s="68">
        <f>ROUND(('3. Population-NSIP#'!E7*$G$19),0)</f>
        <v>172602</v>
      </c>
      <c r="D27" s="308">
        <f t="shared" si="1"/>
        <v>184661</v>
      </c>
      <c r="E27" s="488">
        <f t="shared" si="4"/>
        <v>18835.421999999999</v>
      </c>
      <c r="F27" s="68">
        <f t="shared" si="2"/>
        <v>165825.57800000001</v>
      </c>
      <c r="G27" s="93">
        <f t="shared" si="3"/>
        <v>6.2044813409617199E-2</v>
      </c>
    </row>
    <row r="28" spans="1:8">
      <c r="A28" s="103" t="s">
        <v>169</v>
      </c>
      <c r="B28" s="68">
        <f>ROUND(('3. Population-NSIP#'!C8*$G$18),0)</f>
        <v>7808</v>
      </c>
      <c r="C28" s="68">
        <f>ROUND(('3. Population-NSIP#'!E8*$G$19),0)</f>
        <v>108160</v>
      </c>
      <c r="D28" s="308">
        <f t="shared" si="1"/>
        <v>115968</v>
      </c>
      <c r="E28" s="488">
        <f t="shared" si="4"/>
        <v>11828.735999999999</v>
      </c>
      <c r="F28" s="68">
        <f t="shared" si="2"/>
        <v>104139.264</v>
      </c>
      <c r="G28" s="93">
        <f t="shared" si="3"/>
        <v>3.8964442527044084E-2</v>
      </c>
    </row>
    <row r="29" spans="1:8">
      <c r="A29" s="103" t="s">
        <v>74</v>
      </c>
      <c r="B29" s="68">
        <f>ROUND(('3. Population-NSIP#'!C9*$G$18),0)</f>
        <v>15710</v>
      </c>
      <c r="C29" s="68">
        <f>ROUND(('3. Population-NSIP#'!E9*$G$19),0)</f>
        <v>6642</v>
      </c>
      <c r="D29" s="308">
        <f t="shared" si="1"/>
        <v>22352</v>
      </c>
      <c r="E29" s="488">
        <f t="shared" si="4"/>
        <v>2279.904</v>
      </c>
      <c r="F29" s="68">
        <f t="shared" si="2"/>
        <v>20072.096000000001</v>
      </c>
      <c r="G29" s="93">
        <f t="shared" si="3"/>
        <v>7.5101167508665259E-3</v>
      </c>
    </row>
    <row r="30" spans="1:8">
      <c r="A30" s="103" t="s">
        <v>71</v>
      </c>
      <c r="B30" s="68">
        <f>ROUND(('3. Population-NSIP#'!C10*$G$18),0)</f>
        <v>21829</v>
      </c>
      <c r="C30" s="68">
        <f>ROUND(('3. Population-NSIP#'!E10*$G$19),0)</f>
        <v>64005</v>
      </c>
      <c r="D30" s="308">
        <f t="shared" si="1"/>
        <v>85834</v>
      </c>
      <c r="E30" s="488">
        <f t="shared" si="4"/>
        <v>8755.0679999999993</v>
      </c>
      <c r="F30" s="68">
        <f t="shared" si="2"/>
        <v>77078.932000000001</v>
      </c>
      <c r="G30" s="93">
        <f t="shared" si="3"/>
        <v>2.8839627827213554E-2</v>
      </c>
    </row>
    <row r="31" spans="1:8">
      <c r="A31" s="103" t="s">
        <v>65</v>
      </c>
      <c r="B31" s="68">
        <f>ROUND(('3. Population-NSIP#'!C11*$G$18),0)</f>
        <v>7059</v>
      </c>
      <c r="C31" s="68">
        <f>ROUND(('3. Population-NSIP#'!E11*$G$19),0)</f>
        <v>274163</v>
      </c>
      <c r="D31" s="308">
        <f t="shared" si="1"/>
        <v>281222</v>
      </c>
      <c r="E31" s="488">
        <f t="shared" si="4"/>
        <v>28684.643999999997</v>
      </c>
      <c r="F31" s="68">
        <f t="shared" si="2"/>
        <v>252537.356</v>
      </c>
      <c r="G31" s="93">
        <f t="shared" si="3"/>
        <v>9.448863873086015E-2</v>
      </c>
    </row>
    <row r="32" spans="1:8">
      <c r="A32" s="103" t="s">
        <v>221</v>
      </c>
      <c r="B32" s="68">
        <f>ROUND(('3. Population-NSIP#'!C12*$G$18),0)</f>
        <v>669</v>
      </c>
      <c r="C32" s="68">
        <f>ROUND(('3. Population-NSIP#'!E12*$G$19),0)</f>
        <v>424662</v>
      </c>
      <c r="D32" s="308">
        <f t="shared" si="1"/>
        <v>425331</v>
      </c>
      <c r="E32" s="488">
        <f t="shared" si="4"/>
        <v>43383.761999999995</v>
      </c>
      <c r="F32" s="68">
        <f t="shared" si="2"/>
        <v>381947.23800000001</v>
      </c>
      <c r="G32" s="93">
        <f t="shared" si="3"/>
        <v>0.14290826180041205</v>
      </c>
    </row>
    <row r="33" spans="1:7">
      <c r="A33" s="103" t="s">
        <v>69</v>
      </c>
      <c r="B33" s="68"/>
      <c r="C33" s="68"/>
      <c r="D33" s="308">
        <f t="shared" si="1"/>
        <v>0</v>
      </c>
      <c r="E33" s="488">
        <f t="shared" ref="E33" si="5">D33*1.2%</f>
        <v>0</v>
      </c>
      <c r="F33" s="68">
        <f t="shared" si="2"/>
        <v>0</v>
      </c>
      <c r="G33" s="93">
        <f t="shared" si="3"/>
        <v>0</v>
      </c>
    </row>
    <row r="34" spans="1:7">
      <c r="A34" s="103" t="s">
        <v>75</v>
      </c>
      <c r="B34" s="68">
        <f>ROUND(('3. Population-NSIP#'!C13*$G$18),0)</f>
        <v>15329</v>
      </c>
      <c r="C34" s="68">
        <f>ROUND(('3. Population-NSIP#'!E13*$G$19),0)</f>
        <v>22355</v>
      </c>
      <c r="D34" s="308">
        <f t="shared" si="1"/>
        <v>37684</v>
      </c>
      <c r="E34" s="488">
        <f>D34*10.2%</f>
        <v>3843.7679999999996</v>
      </c>
      <c r="F34" s="68">
        <f t="shared" si="2"/>
        <v>33840.232000000004</v>
      </c>
      <c r="G34" s="93">
        <f t="shared" si="3"/>
        <v>1.2661562260184958E-2</v>
      </c>
    </row>
    <row r="35" spans="1:7">
      <c r="A35" s="103" t="s">
        <v>59</v>
      </c>
      <c r="B35" s="68">
        <f>ROUND(('3. Population-NSIP#'!C14*$G$18),0)</f>
        <v>7086</v>
      </c>
      <c r="C35" s="68">
        <f>ROUND(('3. Population-NSIP#'!E14*$G$19),0)</f>
        <v>390718</v>
      </c>
      <c r="D35" s="68">
        <f t="shared" si="1"/>
        <v>397804</v>
      </c>
      <c r="E35" s="488"/>
      <c r="F35" s="68">
        <f t="shared" si="2"/>
        <v>397804</v>
      </c>
      <c r="G35" s="93">
        <f t="shared" si="3"/>
        <v>0.13365938099327609</v>
      </c>
    </row>
    <row r="36" spans="1:7">
      <c r="A36" s="103" t="s">
        <v>64</v>
      </c>
      <c r="B36" s="68">
        <f>ROUND(('3. Population-NSIP#'!C15*$G$18),0)</f>
        <v>6117</v>
      </c>
      <c r="C36" s="68">
        <f>ROUND(('3. Population-NSIP#'!E15*$G$19),0)</f>
        <v>196370</v>
      </c>
      <c r="D36" s="68">
        <f t="shared" si="1"/>
        <v>202487</v>
      </c>
      <c r="E36" s="488"/>
      <c r="F36" s="68">
        <f t="shared" si="2"/>
        <v>202487</v>
      </c>
      <c r="G36" s="93">
        <f t="shared" si="3"/>
        <v>6.8034225596488473E-2</v>
      </c>
    </row>
    <row r="37" spans="1:7">
      <c r="A37" s="103" t="s">
        <v>68</v>
      </c>
      <c r="B37" s="68">
        <f>ROUND(('3. Population-NSIP#'!C16*$G$18),0)</f>
        <v>6857</v>
      </c>
      <c r="C37" s="68">
        <f>ROUND(('3. Population-NSIP#'!E16*$G$19),0)</f>
        <v>269963</v>
      </c>
      <c r="D37" s="308">
        <f t="shared" si="1"/>
        <v>276820</v>
      </c>
      <c r="E37" s="488">
        <f>D37*10.2%</f>
        <v>28235.64</v>
      </c>
      <c r="F37" s="68">
        <f t="shared" si="2"/>
        <v>248584.36</v>
      </c>
      <c r="G37" s="93">
        <f t="shared" si="3"/>
        <v>9.3009597305604499E-2</v>
      </c>
    </row>
    <row r="38" spans="1:7">
      <c r="A38" s="103" t="s">
        <v>67</v>
      </c>
      <c r="B38" s="68">
        <f>ROUND(('3. Population-NSIP#'!C17*$G$18),0)</f>
        <v>4998</v>
      </c>
      <c r="C38" s="68">
        <f>ROUND(('3. Population-NSIP#'!E17*$G$19),0)</f>
        <v>88354</v>
      </c>
      <c r="D38" s="68">
        <f t="shared" si="1"/>
        <v>93352</v>
      </c>
      <c r="E38" s="488"/>
      <c r="F38" s="68">
        <f t="shared" si="2"/>
        <v>93352</v>
      </c>
      <c r="G38" s="93">
        <f t="shared" si="3"/>
        <v>3.1365623609828738E-2</v>
      </c>
    </row>
    <row r="39" spans="1:7">
      <c r="A39" s="103" t="s">
        <v>63</v>
      </c>
      <c r="B39" s="68">
        <f>ROUND(('3. Population-NSIP#'!C18*$G$18),0)</f>
        <v>1123</v>
      </c>
      <c r="C39" s="68">
        <f>ROUND(('3. Population-NSIP#'!E18*$G$19),0)</f>
        <v>323352</v>
      </c>
      <c r="D39" s="308">
        <f t="shared" si="1"/>
        <v>324475</v>
      </c>
      <c r="E39" s="488">
        <f>D39*10.2%</f>
        <v>33096.449999999997</v>
      </c>
      <c r="F39" s="68">
        <f t="shared" si="2"/>
        <v>291378.55</v>
      </c>
      <c r="G39" s="93">
        <f t="shared" si="3"/>
        <v>0.10902134631072906</v>
      </c>
    </row>
    <row r="40" spans="1:7" s="1" customFormat="1">
      <c r="A40" s="71" t="s">
        <v>29</v>
      </c>
      <c r="B40" s="69">
        <f t="shared" ref="B40:G40" si="6">SUM(B23:B39)</f>
        <v>148815</v>
      </c>
      <c r="C40" s="69">
        <f t="shared" si="6"/>
        <v>2827437</v>
      </c>
      <c r="D40" s="69">
        <f t="shared" si="6"/>
        <v>2976252</v>
      </c>
      <c r="E40" s="69">
        <f t="shared" si="6"/>
        <v>228943.28400000004</v>
      </c>
      <c r="F40" s="69">
        <f>SUM(F23:F39)</f>
        <v>2747308.7159999995</v>
      </c>
      <c r="G40" s="72">
        <f t="shared" si="6"/>
        <v>1.0000000000000002</v>
      </c>
    </row>
    <row r="42" spans="1:7">
      <c r="D42" s="18">
        <f>D23+D25+D26+D27+D28+D29+D30+D31+D32+D34+D37+D39+D33</f>
        <v>2244542</v>
      </c>
      <c r="E42" s="309">
        <f>E40/D42</f>
        <v>0.10200000000000002</v>
      </c>
    </row>
  </sheetData>
  <pageMargins left="0.75" right="0.75" top="1" bottom="0.5" header="0.25" footer="0.3"/>
  <pageSetup scale="80" orientation="landscape" horizontalDpi="1200" verticalDpi="1200" r:id="rId1"/>
  <headerFooter>
    <oddHeader>&amp;L&amp;G&amp;C&amp;"-,Bold"&amp;16 2023-2025 planning allocation
to Area Agencies on Aging</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tabColor rgb="FFFFFF00"/>
  </sheetPr>
  <dimension ref="A1:H36"/>
  <sheetViews>
    <sheetView zoomScaleNormal="100" zoomScaleSheetLayoutView="100" workbookViewId="0">
      <selection activeCell="A23" sqref="A23"/>
    </sheetView>
  </sheetViews>
  <sheetFormatPr defaultRowHeight="15"/>
  <cols>
    <col min="1" max="1" width="64.7109375" bestFit="1" customWidth="1" collapsed="1"/>
    <col min="2" max="2" width="16.140625" style="18" customWidth="1" collapsed="1"/>
    <col min="3" max="3" width="13.5703125" style="18" customWidth="1" collapsed="1"/>
    <col min="4" max="4" width="13.28515625" style="18" customWidth="1" collapsed="1"/>
    <col min="5" max="5" width="16.7109375" style="18" customWidth="1" collapsed="1"/>
    <col min="6" max="6" width="13.28515625" style="18" customWidth="1" collapsed="1"/>
    <col min="7" max="7" width="14" customWidth="1" collapsed="1"/>
    <col min="8" max="8" width="10.5703125" bestFit="1" customWidth="1" collapsed="1"/>
  </cols>
  <sheetData>
    <row r="1" spans="1:8" s="64" customFormat="1" ht="72">
      <c r="A1" s="706" t="s">
        <v>219</v>
      </c>
      <c r="B1" s="706" t="s">
        <v>22</v>
      </c>
      <c r="C1" s="706" t="s">
        <v>26</v>
      </c>
      <c r="D1" s="706" t="s">
        <v>390</v>
      </c>
      <c r="E1" s="706" t="s">
        <v>443</v>
      </c>
      <c r="F1" s="706" t="s">
        <v>444</v>
      </c>
      <c r="G1" s="706" t="s">
        <v>445</v>
      </c>
    </row>
    <row r="2" spans="1:8" ht="12.95" customHeight="1">
      <c r="A2" s="89" t="s">
        <v>393</v>
      </c>
      <c r="B2" s="54">
        <f>2153981*0.5</f>
        <v>1076990.5</v>
      </c>
      <c r="C2" s="6">
        <v>0.25</v>
      </c>
      <c r="D2" s="55">
        <f>ROUND(B2*C2,0)</f>
        <v>269248</v>
      </c>
      <c r="E2" s="55"/>
      <c r="F2" s="55"/>
      <c r="G2" s="55">
        <f>SUM(D2:F2)</f>
        <v>269248</v>
      </c>
    </row>
    <row r="3" spans="1:8" ht="12.95" customHeight="1">
      <c r="A3" s="89" t="s">
        <v>441</v>
      </c>
      <c r="B3" s="54">
        <f>2153981*0.5</f>
        <v>1076990.5</v>
      </c>
      <c r="C3" s="6">
        <v>1</v>
      </c>
      <c r="D3" s="55"/>
      <c r="E3" s="55">
        <f>ROUND(B3*C3,0)</f>
        <v>1076991</v>
      </c>
      <c r="F3" s="55"/>
      <c r="G3" s="55">
        <f>SUM(D3:F3)</f>
        <v>1076991</v>
      </c>
    </row>
    <row r="4" spans="1:8" ht="12.95" customHeight="1">
      <c r="A4" s="89" t="s">
        <v>442</v>
      </c>
      <c r="B4" s="54">
        <f>2153981*0.5</f>
        <v>1076990.5</v>
      </c>
      <c r="C4" s="6">
        <v>0.75</v>
      </c>
      <c r="D4" s="56"/>
      <c r="E4" s="56"/>
      <c r="F4" s="56">
        <f>ROUND(B4*C4,0)</f>
        <v>807743</v>
      </c>
      <c r="G4" s="56">
        <f>SUM(D4:F4)</f>
        <v>807743</v>
      </c>
    </row>
    <row r="5" spans="1:8" ht="12.95" customHeight="1">
      <c r="A5" s="89" t="s">
        <v>23</v>
      </c>
      <c r="B5" s="30"/>
      <c r="D5" s="55">
        <f>SUM(D2:D4)</f>
        <v>269248</v>
      </c>
      <c r="E5" s="55">
        <f>SUM(E2:E4)</f>
        <v>1076991</v>
      </c>
      <c r="F5" s="55">
        <f>SUM(F2:F4)</f>
        <v>807743</v>
      </c>
      <c r="G5" s="54">
        <f>SUM(D5:F5)</f>
        <v>2153982</v>
      </c>
    </row>
    <row r="6" spans="1:8" ht="12.95" customHeight="1">
      <c r="A6" s="190" t="s">
        <v>311</v>
      </c>
      <c r="B6" s="30"/>
      <c r="C6" s="5">
        <v>0.05</v>
      </c>
      <c r="D6" s="56">
        <f>ROUND($C$6*-D5,0)</f>
        <v>-13462</v>
      </c>
      <c r="E6" s="56">
        <f>ROUND($C$6*-E5,0)</f>
        <v>-53850</v>
      </c>
      <c r="F6" s="56">
        <f>ROUND($C$6*-F5,0)</f>
        <v>-40387</v>
      </c>
      <c r="G6" s="56">
        <f>SUM(D6:F6)</f>
        <v>-107699</v>
      </c>
    </row>
    <row r="7" spans="1:8" ht="12.95" customHeight="1">
      <c r="A7" s="89" t="s">
        <v>23</v>
      </c>
      <c r="B7" s="30"/>
      <c r="D7" s="55">
        <f>SUM(D5:D6)</f>
        <v>255786</v>
      </c>
      <c r="E7" s="55">
        <f>SUM(E5:E6)</f>
        <v>1023141</v>
      </c>
      <c r="F7" s="55">
        <f>SUM(F5:F6)</f>
        <v>767356</v>
      </c>
      <c r="G7" s="55">
        <f>SUM(G5:G6)</f>
        <v>2046283</v>
      </c>
    </row>
    <row r="8" spans="1:8" s="15" customFormat="1" ht="12.95" customHeight="1">
      <c r="A8" s="50"/>
      <c r="B8" s="18"/>
      <c r="C8" s="18"/>
      <c r="D8" s="17"/>
      <c r="E8" s="57"/>
      <c r="F8" s="57"/>
      <c r="G8" s="57"/>
    </row>
    <row r="9" spans="1:8" s="1" customFormat="1" ht="12.95" customHeight="1" thickBot="1">
      <c r="A9" s="46" t="s">
        <v>29</v>
      </c>
      <c r="B9" s="10"/>
      <c r="C9" s="10"/>
      <c r="D9" s="14"/>
      <c r="E9" s="58"/>
      <c r="F9" s="58"/>
      <c r="G9" s="59">
        <f>G7</f>
        <v>2046283</v>
      </c>
    </row>
    <row r="10" spans="1:8" s="686" customFormat="1" ht="12.95" customHeight="1" thickTop="1">
      <c r="A10" s="83"/>
      <c r="B10" s="81"/>
      <c r="C10" s="81"/>
      <c r="D10" s="82"/>
      <c r="E10" s="82"/>
      <c r="F10" s="82"/>
      <c r="G10" s="82"/>
    </row>
    <row r="11" spans="1:8" ht="12.95" customHeight="1">
      <c r="A11" s="1" t="s">
        <v>144</v>
      </c>
      <c r="G11" s="18"/>
    </row>
    <row r="12" spans="1:8" ht="12.95" customHeight="1">
      <c r="A12" s="89" t="s">
        <v>27</v>
      </c>
      <c r="B12" s="62"/>
      <c r="C12" s="30">
        <v>16</v>
      </c>
      <c r="G12" s="60">
        <f>B12*C12</f>
        <v>0</v>
      </c>
      <c r="H12" s="12"/>
    </row>
    <row r="13" spans="1:8" ht="12.95" customHeight="1">
      <c r="A13" s="89" t="s">
        <v>28</v>
      </c>
      <c r="B13" s="30"/>
      <c r="C13" s="31"/>
      <c r="G13" s="60">
        <f>ROUND((G9-G12)*C13,0)</f>
        <v>0</v>
      </c>
    </row>
    <row r="14" spans="1:8" ht="12.95" customHeight="1">
      <c r="A14" s="89" t="s">
        <v>37</v>
      </c>
      <c r="C14" s="31"/>
      <c r="G14" s="60">
        <f>G9-G12-G13</f>
        <v>2046283</v>
      </c>
    </row>
    <row r="15" spans="1:8" s="1" customFormat="1" ht="12.95" customHeight="1" thickBot="1">
      <c r="A15" s="46" t="s">
        <v>29</v>
      </c>
      <c r="B15" s="10"/>
      <c r="C15" s="10"/>
      <c r="D15" s="10"/>
      <c r="E15" s="10"/>
      <c r="F15" s="10"/>
      <c r="G15" s="61">
        <f>SUM(G12:G14)</f>
        <v>2046283</v>
      </c>
    </row>
    <row r="16" spans="1:8" s="169" customFormat="1" ht="6.75" customHeight="1" thickTop="1">
      <c r="A16" s="79"/>
      <c r="B16" s="78"/>
      <c r="C16" s="78"/>
      <c r="D16" s="78"/>
      <c r="E16" s="78"/>
      <c r="F16" s="78"/>
      <c r="G16" s="77"/>
    </row>
    <row r="17" spans="1:7" s="64" customFormat="1" ht="72">
      <c r="A17" s="154" t="s">
        <v>58</v>
      </c>
      <c r="B17" s="84" t="s">
        <v>206</v>
      </c>
      <c r="C17" s="85" t="s">
        <v>204</v>
      </c>
      <c r="G17" s="86"/>
    </row>
    <row r="18" spans="1:7">
      <c r="A18" s="103" t="s">
        <v>72</v>
      </c>
      <c r="B18" s="369">
        <f>ROUND(('3. Population-NSIP#'!E3*$G$14),0)</f>
        <v>71670</v>
      </c>
      <c r="C18" s="368">
        <f>B18/$B$34</f>
        <v>3.5024480973550577E-2</v>
      </c>
      <c r="G18" s="18"/>
    </row>
    <row r="19" spans="1:7">
      <c r="A19" s="103" t="s">
        <v>61</v>
      </c>
      <c r="B19" s="369">
        <f>ROUND(('3. Population-NSIP#'!E4*$G$14),0)</f>
        <v>26812</v>
      </c>
      <c r="C19" s="368">
        <f t="shared" ref="C19:C33" si="0">B19/$B$34</f>
        <v>1.3102781971017694E-2</v>
      </c>
      <c r="G19" s="18"/>
    </row>
    <row r="20" spans="1:7">
      <c r="A20" s="103" t="s">
        <v>73</v>
      </c>
      <c r="B20" s="369">
        <f>ROUND(('3. Population-NSIP#'!E5*$G$14),0)</f>
        <v>38818</v>
      </c>
      <c r="C20" s="368">
        <f t="shared" si="0"/>
        <v>1.8970005615059109E-2</v>
      </c>
      <c r="G20" s="18"/>
    </row>
    <row r="21" spans="1:7">
      <c r="A21" s="103" t="s">
        <v>60</v>
      </c>
      <c r="B21" s="369">
        <f>ROUND(('3. Population-NSIP#'!E6*$G$14),0)</f>
        <v>214495</v>
      </c>
      <c r="C21" s="368">
        <f t="shared" si="0"/>
        <v>0.10482176707718337</v>
      </c>
      <c r="G21" s="18"/>
    </row>
    <row r="22" spans="1:7">
      <c r="A22" s="103" t="s">
        <v>541</v>
      </c>
      <c r="B22" s="369">
        <f>ROUND(('3. Population-NSIP#'!E7*$G$14),0)</f>
        <v>124916</v>
      </c>
      <c r="C22" s="368">
        <f t="shared" si="0"/>
        <v>6.1045319733389759E-2</v>
      </c>
      <c r="G22" s="18"/>
    </row>
    <row r="23" spans="1:7">
      <c r="A23" s="103" t="s">
        <v>169</v>
      </c>
      <c r="B23" s="369">
        <f>ROUND(('3. Population-NSIP#'!E8*$G$14),0)</f>
        <v>78278</v>
      </c>
      <c r="C23" s="368">
        <f t="shared" si="0"/>
        <v>3.8253750825276857E-2</v>
      </c>
      <c r="G23" s="18"/>
    </row>
    <row r="24" spans="1:7">
      <c r="A24" s="103" t="s">
        <v>74</v>
      </c>
      <c r="B24" s="369">
        <f>ROUND(('3. Population-NSIP#'!E9*$G$14),0)</f>
        <v>4807</v>
      </c>
      <c r="C24" s="368">
        <f t="shared" si="0"/>
        <v>2.3491374360242448E-3</v>
      </c>
      <c r="G24" s="18"/>
    </row>
    <row r="25" spans="1:7">
      <c r="A25" s="103" t="s">
        <v>71</v>
      </c>
      <c r="B25" s="369">
        <f>ROUND(('3. Population-NSIP#'!E10*$G$14),0)</f>
        <v>46322</v>
      </c>
      <c r="C25" s="368">
        <f t="shared" si="0"/>
        <v>2.2637142565324543E-2</v>
      </c>
      <c r="G25" s="18"/>
    </row>
    <row r="26" spans="1:7">
      <c r="A26" s="103" t="s">
        <v>65</v>
      </c>
      <c r="B26" s="369">
        <f>ROUND(('3. Population-NSIP#'!E11*$G$14),0)</f>
        <v>198418</v>
      </c>
      <c r="C26" s="368">
        <f t="shared" si="0"/>
        <v>9.6965082542346287E-2</v>
      </c>
      <c r="G26" s="18"/>
    </row>
    <row r="27" spans="1:7">
      <c r="A27" s="103" t="s">
        <v>221</v>
      </c>
      <c r="B27" s="369">
        <f>ROUND(('3. Population-NSIP#'!E12*$G$14),0)</f>
        <v>307338</v>
      </c>
      <c r="C27" s="368">
        <f t="shared" si="0"/>
        <v>0.15019330170851247</v>
      </c>
      <c r="G27" s="18"/>
    </row>
    <row r="28" spans="1:7">
      <c r="A28" s="103" t="s">
        <v>75</v>
      </c>
      <c r="B28" s="369">
        <f>ROUND(('3. Population-NSIP#'!E13*$G$14),0)</f>
        <v>16179</v>
      </c>
      <c r="C28" s="368">
        <f t="shared" si="0"/>
        <v>7.906531012572552E-3</v>
      </c>
      <c r="G28" s="18"/>
    </row>
    <row r="29" spans="1:7">
      <c r="A29" s="103" t="s">
        <v>59</v>
      </c>
      <c r="B29" s="369">
        <f>ROUND(('3. Population-NSIP#'!E14*$G$14),0)</f>
        <v>282772</v>
      </c>
      <c r="C29" s="368">
        <f t="shared" si="0"/>
        <v>0.13818811962959179</v>
      </c>
      <c r="G29" s="18"/>
    </row>
    <row r="30" spans="1:7">
      <c r="A30" s="103" t="s">
        <v>64</v>
      </c>
      <c r="B30" s="369">
        <f>ROUND(('3. Population-NSIP#'!E15*$G$14),0)</f>
        <v>142118</v>
      </c>
      <c r="C30" s="368">
        <f t="shared" si="0"/>
        <v>6.9451781596191725E-2</v>
      </c>
      <c r="G30" s="18"/>
    </row>
    <row r="31" spans="1:7">
      <c r="A31" s="103" t="s">
        <v>68</v>
      </c>
      <c r="B31" s="369">
        <f>ROUND(('3. Population-NSIP#'!E16*$G$14),0)</f>
        <v>195379</v>
      </c>
      <c r="C31" s="368">
        <f t="shared" si="0"/>
        <v>9.5479950720403772E-2</v>
      </c>
      <c r="G31" s="18"/>
    </row>
    <row r="32" spans="1:7">
      <c r="A32" s="103" t="s">
        <v>67</v>
      </c>
      <c r="B32" s="369">
        <f>ROUND(('3. Population-NSIP#'!E17*$G$14),0)</f>
        <v>63944</v>
      </c>
      <c r="C32" s="368">
        <f t="shared" si="0"/>
        <v>3.1248854630566741E-2</v>
      </c>
      <c r="G32" s="18"/>
    </row>
    <row r="33" spans="1:7">
      <c r="A33" s="103" t="s">
        <v>63</v>
      </c>
      <c r="B33" s="369">
        <f>ROUND(('3. Population-NSIP#'!E18*$G$14),0)</f>
        <v>234017</v>
      </c>
      <c r="C33" s="368">
        <f t="shared" si="0"/>
        <v>0.1143619919629885</v>
      </c>
      <c r="G33" s="18"/>
    </row>
    <row r="34" spans="1:7" s="1" customFormat="1">
      <c r="A34" s="71" t="s">
        <v>29</v>
      </c>
      <c r="B34" s="370">
        <f>SUM(B18:B33)</f>
        <v>2046283</v>
      </c>
      <c r="C34" s="72">
        <f>SUM(C18:C33)</f>
        <v>0.99999999999999989</v>
      </c>
      <c r="G34" s="10"/>
    </row>
    <row r="36" spans="1:7">
      <c r="A36" s="359"/>
    </row>
  </sheetData>
  <sheetProtection algorithmName="SHA-512" hashValue="mmupvlgmdQhJbGh8o0pzZDHGOMBoSHXmi+Vh/MGiBCJwGO3roc5YEciz0gm6J5sG3mei3sTp8wSD1xC14+RWvg==" saltValue="bun28gqsCJRK4/Y43CV9Cw==" spinCount="100000" sheet="1" objects="1" scenarios="1"/>
  <pageMargins left="0.75" right="0.75" top="1" bottom="0.5" header="0.25" footer="0.3"/>
  <pageSetup orientation="landscape" horizontalDpi="1200" verticalDpi="1200" r:id="rId1"/>
  <headerFooter>
    <oddHeader>&amp;L&amp;G&amp;C&amp;"-,Bold"&amp;16 2023-2025 planning allocation
to Area Agencies on Aging</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5">
    <tabColor rgb="FFFFFF66"/>
  </sheetPr>
  <dimension ref="A1:M37"/>
  <sheetViews>
    <sheetView zoomScaleNormal="100" workbookViewId="0">
      <selection activeCell="B4" sqref="B4"/>
    </sheetView>
  </sheetViews>
  <sheetFormatPr defaultRowHeight="15"/>
  <cols>
    <col min="1" max="1" width="62" bestFit="1" customWidth="1" collapsed="1"/>
    <col min="2" max="2" width="15.42578125" style="9" customWidth="1" collapsed="1"/>
    <col min="3" max="3" width="16.5703125" style="9" customWidth="1" collapsed="1"/>
    <col min="4" max="4" width="15.42578125" style="9" customWidth="1" collapsed="1"/>
    <col min="5" max="6" width="12.7109375" style="9" bestFit="1" customWidth="1" collapsed="1"/>
    <col min="7" max="7" width="12.7109375" bestFit="1" customWidth="1" collapsed="1"/>
    <col min="8" max="8" width="10.5703125" bestFit="1" customWidth="1" collapsed="1"/>
    <col min="9" max="9" width="16.140625" customWidth="1"/>
    <col min="11" max="11" width="16.85546875" customWidth="1"/>
    <col min="12" max="12" width="15.28515625" customWidth="1" collapsed="1"/>
    <col min="13" max="13" width="16.42578125" customWidth="1" collapsed="1"/>
  </cols>
  <sheetData>
    <row r="1" spans="1:9" s="64" customFormat="1" ht="36">
      <c r="A1" s="673" t="s">
        <v>496</v>
      </c>
      <c r="B1" s="673" t="s">
        <v>22</v>
      </c>
      <c r="C1" s="673" t="s">
        <v>26</v>
      </c>
      <c r="D1" s="673" t="s">
        <v>390</v>
      </c>
      <c r="E1" s="673" t="s">
        <v>443</v>
      </c>
      <c r="F1" s="673" t="s">
        <v>444</v>
      </c>
      <c r="G1" s="673" t="s">
        <v>445</v>
      </c>
    </row>
    <row r="2" spans="1:9">
      <c r="A2" s="48" t="s">
        <v>393</v>
      </c>
      <c r="B2" s="304">
        <f>'4. Award History&amp;Projections '!$K16*0.5</f>
        <v>5213943.5</v>
      </c>
      <c r="C2" s="6">
        <v>0.25</v>
      </c>
      <c r="D2" s="9">
        <f>ROUND(B2*C2,0)</f>
        <v>1303486</v>
      </c>
      <c r="G2" s="9">
        <f>SUM(D2:F2)</f>
        <v>1303486</v>
      </c>
    </row>
    <row r="3" spans="1:9">
      <c r="A3" s="48" t="s">
        <v>441</v>
      </c>
      <c r="B3" s="304">
        <f>'4. Award History&amp;Projections '!$K17*0.5</f>
        <v>5213943.5</v>
      </c>
      <c r="C3" s="6">
        <v>1</v>
      </c>
      <c r="E3" s="9">
        <f>ROUND(B3*C3,0)</f>
        <v>5213944</v>
      </c>
      <c r="G3" s="9">
        <f>SUM(D3:F3)</f>
        <v>5213944</v>
      </c>
    </row>
    <row r="4" spans="1:9">
      <c r="A4" s="48" t="s">
        <v>442</v>
      </c>
      <c r="B4" s="304">
        <f>'4. Award History&amp;Projections '!$K18*0.5</f>
        <v>5213943.5</v>
      </c>
      <c r="C4" s="6">
        <v>0.75</v>
      </c>
      <c r="D4" s="8"/>
      <c r="E4" s="8"/>
      <c r="F4" s="8">
        <f>ROUND(B4*C4,0)</f>
        <v>3910458</v>
      </c>
      <c r="G4" s="8">
        <f>SUM(D4:F4)</f>
        <v>3910458</v>
      </c>
      <c r="I4" s="303"/>
    </row>
    <row r="5" spans="1:9">
      <c r="A5" s="48" t="s">
        <v>23</v>
      </c>
      <c r="D5" s="9">
        <f>SUM(D2:D4)</f>
        <v>1303486</v>
      </c>
      <c r="E5" s="9">
        <f>SUM(E2:E4)</f>
        <v>5213944</v>
      </c>
      <c r="F5" s="9">
        <f>SUM(F2:F4)</f>
        <v>3910458</v>
      </c>
      <c r="G5" s="9">
        <f>SUM(G2:G4)</f>
        <v>10427888</v>
      </c>
      <c r="I5" s="302"/>
    </row>
    <row r="6" spans="1:9">
      <c r="A6" s="48" t="s">
        <v>24</v>
      </c>
      <c r="C6" s="5">
        <v>0</v>
      </c>
      <c r="D6" s="8">
        <f>ROUND($C$6*-D5,0)</f>
        <v>0</v>
      </c>
      <c r="E6" s="8">
        <f>ROUND($C$6*-E5,0)</f>
        <v>0</v>
      </c>
      <c r="F6" s="8">
        <f>ROUND($C$6*-F5,0)</f>
        <v>0</v>
      </c>
      <c r="G6" s="8">
        <f>SUM(D6:F6)</f>
        <v>0</v>
      </c>
      <c r="I6" s="303"/>
    </row>
    <row r="7" spans="1:9">
      <c r="A7" s="48" t="s">
        <v>23</v>
      </c>
      <c r="D7" s="9">
        <f>SUM(D5:D6)</f>
        <v>1303486</v>
      </c>
      <c r="E7" s="9">
        <f>SUM(E5:E6)</f>
        <v>5213944</v>
      </c>
      <c r="F7" s="9">
        <f>SUM(F5:F6)</f>
        <v>3910458</v>
      </c>
      <c r="G7" s="9">
        <f>SUM(G5:G6)</f>
        <v>10427888</v>
      </c>
    </row>
    <row r="8" spans="1:9" s="15" customFormat="1">
      <c r="A8" s="53"/>
      <c r="B8" s="9"/>
      <c r="C8" s="9"/>
      <c r="D8" s="17"/>
      <c r="E8" s="17"/>
      <c r="F8" s="17"/>
      <c r="G8" s="17">
        <v>0</v>
      </c>
    </row>
    <row r="9" spans="1:9" s="1" customFormat="1" ht="15.75" thickBot="1">
      <c r="A9" s="46" t="s">
        <v>29</v>
      </c>
      <c r="B9" s="10"/>
      <c r="C9" s="10"/>
      <c r="D9" s="14"/>
      <c r="E9" s="14"/>
      <c r="F9" s="14"/>
      <c r="G9" s="11">
        <f>G7</f>
        <v>10427888</v>
      </c>
    </row>
    <row r="10" spans="1:9" s="686" customFormat="1" ht="15.75" thickTop="1">
      <c r="A10" s="83"/>
      <c r="B10" s="81"/>
      <c r="C10" s="81"/>
      <c r="D10" s="82"/>
      <c r="E10" s="82"/>
      <c r="F10" s="82"/>
      <c r="G10" s="82"/>
    </row>
    <row r="11" spans="1:9">
      <c r="A11" s="63" t="s">
        <v>144</v>
      </c>
      <c r="G11" s="9"/>
    </row>
    <row r="12" spans="1:9">
      <c r="A12" s="76" t="s">
        <v>36</v>
      </c>
      <c r="B12" s="9">
        <v>0</v>
      </c>
      <c r="C12" s="9">
        <v>0</v>
      </c>
      <c r="G12" s="9">
        <f>B12*C12</f>
        <v>0</v>
      </c>
      <c r="H12" s="12"/>
    </row>
    <row r="13" spans="1:9">
      <c r="A13" s="48" t="s">
        <v>28</v>
      </c>
      <c r="C13" s="5">
        <v>0.05</v>
      </c>
      <c r="G13" s="9">
        <f>ROUND((G9-G12)*C13,0)</f>
        <v>521394</v>
      </c>
    </row>
    <row r="14" spans="1:9">
      <c r="A14" s="48" t="s">
        <v>37</v>
      </c>
      <c r="C14" s="5">
        <v>0.95</v>
      </c>
      <c r="G14" s="9">
        <f>G9-G12-G13</f>
        <v>9906494</v>
      </c>
    </row>
    <row r="15" spans="1:9" s="1" customFormat="1" ht="15.75" thickBot="1">
      <c r="A15" s="46" t="s">
        <v>29</v>
      </c>
      <c r="B15" s="10"/>
      <c r="C15" s="10"/>
      <c r="D15" s="10"/>
      <c r="E15" s="10"/>
      <c r="F15" s="10"/>
      <c r="G15" s="11">
        <f>SUM(G12:G14)</f>
        <v>10427888</v>
      </c>
    </row>
    <row r="16" spans="1:9" s="169" customFormat="1" ht="6.75" customHeight="1" thickTop="1">
      <c r="A16" s="77"/>
      <c r="B16" s="78"/>
      <c r="C16" s="78"/>
      <c r="D16" s="78"/>
      <c r="E16" s="78"/>
      <c r="F16" s="78"/>
      <c r="G16" s="77"/>
    </row>
    <row r="17" spans="1:7" s="64" customFormat="1" ht="72">
      <c r="A17" s="84" t="s">
        <v>58</v>
      </c>
      <c r="B17" s="84" t="s">
        <v>202</v>
      </c>
      <c r="C17" s="84" t="s">
        <v>203</v>
      </c>
      <c r="D17" s="84" t="s">
        <v>208</v>
      </c>
      <c r="E17" s="85" t="s">
        <v>204</v>
      </c>
      <c r="G17" s="86"/>
    </row>
    <row r="18" spans="1:7">
      <c r="A18" s="103" t="s">
        <v>72</v>
      </c>
      <c r="B18" s="68">
        <f>ROUND(('3. Population-NSIP#'!C3*$G$13),0)</f>
        <v>64606</v>
      </c>
      <c r="C18" s="68">
        <f>ROUND(('3. Population-NSIP#'!E3*$G$14),0)</f>
        <v>346970</v>
      </c>
      <c r="D18" s="68">
        <f t="shared" ref="D18:D33" si="0">SUM(B18:C18)</f>
        <v>411576</v>
      </c>
      <c r="E18" s="93">
        <f t="shared" ref="E18:E33" si="1">D18/$D$34</f>
        <v>3.946877833747351E-2</v>
      </c>
      <c r="G18" s="9"/>
    </row>
    <row r="19" spans="1:7">
      <c r="A19" s="103" t="s">
        <v>61</v>
      </c>
      <c r="B19" s="68">
        <f>ROUND(('3. Population-NSIP#'!C4*$G$13),0)</f>
        <v>3571</v>
      </c>
      <c r="C19" s="68">
        <f>ROUND(('3. Population-NSIP#'!E4*$G$14),0)</f>
        <v>129804</v>
      </c>
      <c r="D19" s="68">
        <f t="shared" si="0"/>
        <v>133375</v>
      </c>
      <c r="E19" s="93">
        <f t="shared" si="1"/>
        <v>1.2790221759190356E-2</v>
      </c>
      <c r="G19" s="9"/>
    </row>
    <row r="20" spans="1:7">
      <c r="A20" s="103" t="s">
        <v>73</v>
      </c>
      <c r="B20" s="68">
        <f>ROUND(('3. Population-NSIP#'!C5*$G$13),0)</f>
        <v>69418</v>
      </c>
      <c r="C20" s="68">
        <f>ROUND(('3. Population-NSIP#'!E5*$G$14),0)</f>
        <v>187926</v>
      </c>
      <c r="D20" s="68">
        <f t="shared" si="0"/>
        <v>257344</v>
      </c>
      <c r="E20" s="93">
        <f t="shared" si="1"/>
        <v>2.4678439200727893E-2</v>
      </c>
      <c r="G20" s="9"/>
    </row>
    <row r="21" spans="1:7">
      <c r="A21" s="103" t="s">
        <v>60</v>
      </c>
      <c r="B21" s="68">
        <f>ROUND(('3. Population-NSIP#'!C6*$G$13),0)</f>
        <v>10159</v>
      </c>
      <c r="C21" s="68">
        <f>ROUND(('3. Population-NSIP#'!E6*$G$14),0)</f>
        <v>1038417</v>
      </c>
      <c r="D21" s="68">
        <f t="shared" si="0"/>
        <v>1048576</v>
      </c>
      <c r="E21" s="93">
        <f t="shared" si="1"/>
        <v>0.10055497335606213</v>
      </c>
      <c r="G21" s="9"/>
    </row>
    <row r="22" spans="1:7">
      <c r="A22" s="103" t="s">
        <v>70</v>
      </c>
      <c r="B22" s="68">
        <f>ROUND(('3. Population-NSIP#'!C7*$G$13),0)</f>
        <v>42249</v>
      </c>
      <c r="C22" s="68">
        <f>ROUND(('3. Population-NSIP#'!E7*$G$14),0)</f>
        <v>604746</v>
      </c>
      <c r="D22" s="68">
        <f t="shared" si="0"/>
        <v>646995</v>
      </c>
      <c r="E22" s="93">
        <f t="shared" si="1"/>
        <v>6.2044682489877143E-2</v>
      </c>
      <c r="G22" s="9"/>
    </row>
    <row r="23" spans="1:7">
      <c r="A23" s="103" t="s">
        <v>169</v>
      </c>
      <c r="B23" s="68">
        <f>ROUND(('3. Population-NSIP#'!C8*$G$13),0)</f>
        <v>27355</v>
      </c>
      <c r="C23" s="68">
        <f>ROUND(('3. Population-NSIP#'!E8*$G$14),0)</f>
        <v>378960</v>
      </c>
      <c r="D23" s="68">
        <f t="shared" si="0"/>
        <v>406315</v>
      </c>
      <c r="E23" s="93">
        <f t="shared" si="1"/>
        <v>3.8964265822571169E-2</v>
      </c>
      <c r="G23" s="9"/>
    </row>
    <row r="24" spans="1:7">
      <c r="A24" s="103" t="s">
        <v>74</v>
      </c>
      <c r="B24" s="68">
        <f>ROUND(('3. Population-NSIP#'!C9*$G$13),0)</f>
        <v>55042</v>
      </c>
      <c r="C24" s="68">
        <f>ROUND(('3. Population-NSIP#'!E9*$G$14),0)</f>
        <v>23273</v>
      </c>
      <c r="D24" s="68">
        <f t="shared" si="0"/>
        <v>78315</v>
      </c>
      <c r="E24" s="93">
        <f t="shared" si="1"/>
        <v>7.5101497062492421E-3</v>
      </c>
      <c r="G24" s="9"/>
    </row>
    <row r="25" spans="1:7">
      <c r="A25" s="103" t="s">
        <v>71</v>
      </c>
      <c r="B25" s="68">
        <f>ROUND(('3. Population-NSIP#'!C10*$G$13),0)</f>
        <v>76481</v>
      </c>
      <c r="C25" s="68">
        <f>ROUND(('3. Population-NSIP#'!E10*$G$14),0)</f>
        <v>224253</v>
      </c>
      <c r="D25" s="68">
        <f t="shared" si="0"/>
        <v>300734</v>
      </c>
      <c r="E25" s="93">
        <f t="shared" si="1"/>
        <v>2.8839396817457189E-2</v>
      </c>
      <c r="G25" s="9"/>
    </row>
    <row r="26" spans="1:7">
      <c r="A26" s="103" t="s">
        <v>65</v>
      </c>
      <c r="B26" s="68">
        <f>ROUND(('3. Population-NSIP#'!C11*$G$13),0)</f>
        <v>24732</v>
      </c>
      <c r="C26" s="68">
        <f>ROUND(('3. Population-NSIP#'!E11*$G$14),0)</f>
        <v>960586</v>
      </c>
      <c r="D26" s="68">
        <f t="shared" si="0"/>
        <v>985318</v>
      </c>
      <c r="E26" s="93">
        <f t="shared" si="1"/>
        <v>9.4488740193603926E-2</v>
      </c>
      <c r="G26" s="9"/>
    </row>
    <row r="27" spans="1:7">
      <c r="A27" s="103" t="s">
        <v>221</v>
      </c>
      <c r="B27" s="68">
        <f>ROUND(('3. Population-NSIP#'!C12*$G$13),0)</f>
        <v>2343</v>
      </c>
      <c r="C27" s="68">
        <f>ROUND(('3. Population-NSIP#'!E12*$G$14),0)-3</f>
        <v>1487886</v>
      </c>
      <c r="D27" s="68">
        <f>SUM(B27:C27)</f>
        <v>1490229</v>
      </c>
      <c r="E27" s="93">
        <f t="shared" si="1"/>
        <v>0.14290803660338508</v>
      </c>
      <c r="G27" s="9"/>
    </row>
    <row r="28" spans="1:7">
      <c r="A28" s="103" t="s">
        <v>75</v>
      </c>
      <c r="B28" s="68">
        <f>ROUND(('3. Population-NSIP#'!C13*$G$13),0)</f>
        <v>53708</v>
      </c>
      <c r="C28" s="68">
        <f>ROUND(('3. Population-NSIP#'!E13*$G$14),0)</f>
        <v>78324</v>
      </c>
      <c r="D28" s="68">
        <f t="shared" si="0"/>
        <v>132032</v>
      </c>
      <c r="E28" s="93">
        <f t="shared" si="1"/>
        <v>1.2661432497165294E-2</v>
      </c>
      <c r="G28" s="9"/>
    </row>
    <row r="29" spans="1:7">
      <c r="A29" s="103" t="s">
        <v>59</v>
      </c>
      <c r="B29" s="68">
        <f>ROUND(('3. Population-NSIP#'!C14*$G$13),0)</f>
        <v>24827</v>
      </c>
      <c r="C29" s="68">
        <f>ROUND(('3. Population-NSIP#'!E14*$G$14),0)</f>
        <v>1368960</v>
      </c>
      <c r="D29" s="68">
        <f t="shared" si="0"/>
        <v>1393787</v>
      </c>
      <c r="E29" s="93">
        <f t="shared" si="1"/>
        <v>0.13365956749823166</v>
      </c>
      <c r="G29" s="9"/>
    </row>
    <row r="30" spans="1:7">
      <c r="A30" s="103" t="s">
        <v>64</v>
      </c>
      <c r="B30" s="68">
        <f>ROUND(('3. Population-NSIP#'!C15*$G$13),0)</f>
        <v>21433</v>
      </c>
      <c r="C30" s="68">
        <f>ROUND(('3. Population-NSIP#'!E15*$G$14),0)</f>
        <v>688023</v>
      </c>
      <c r="D30" s="68">
        <f t="shared" si="0"/>
        <v>709456</v>
      </c>
      <c r="E30" s="93">
        <f t="shared" si="1"/>
        <v>6.8034485986040505E-2</v>
      </c>
      <c r="G30" s="9"/>
    </row>
    <row r="31" spans="1:7">
      <c r="A31" s="103" t="s">
        <v>68</v>
      </c>
      <c r="B31" s="68">
        <f>ROUND(('3. Population-NSIP#'!C16*$G$13),0)</f>
        <v>24026</v>
      </c>
      <c r="C31" s="68">
        <f>ROUND(('3. Population-NSIP#'!E16*$G$14),0)</f>
        <v>945870</v>
      </c>
      <c r="D31" s="68">
        <f>SUM(B31:C31)+1</f>
        <v>969897</v>
      </c>
      <c r="E31" s="93">
        <f t="shared" si="1"/>
        <v>9.3009917252659405E-2</v>
      </c>
      <c r="G31" s="9"/>
    </row>
    <row r="32" spans="1:7">
      <c r="A32" s="103" t="s">
        <v>67</v>
      </c>
      <c r="B32" s="68">
        <f>ROUND(('3. Population-NSIP#'!C17*$G$13),0)</f>
        <v>17510</v>
      </c>
      <c r="C32" s="68">
        <f>ROUND(('3. Population-NSIP#'!E17*$G$14),0)</f>
        <v>309566</v>
      </c>
      <c r="D32" s="68">
        <f t="shared" si="0"/>
        <v>327076</v>
      </c>
      <c r="E32" s="93">
        <f t="shared" si="1"/>
        <v>3.1365507569701558E-2</v>
      </c>
      <c r="G32" s="9"/>
    </row>
    <row r="33" spans="1:7">
      <c r="A33" s="103" t="s">
        <v>63</v>
      </c>
      <c r="B33" s="68">
        <f>ROUND(('3. Population-NSIP#'!C18*$G$13),0)</f>
        <v>3934</v>
      </c>
      <c r="C33" s="68">
        <f>ROUND(('3. Population-NSIP#'!E18*$G$14),0)</f>
        <v>1132929</v>
      </c>
      <c r="D33" s="68">
        <f t="shared" si="0"/>
        <v>1136863</v>
      </c>
      <c r="E33" s="93">
        <f t="shared" si="1"/>
        <v>0.10902140490960394</v>
      </c>
      <c r="G33" s="9"/>
    </row>
    <row r="34" spans="1:7" s="1" customFormat="1">
      <c r="A34" s="71" t="s">
        <v>29</v>
      </c>
      <c r="B34" s="69">
        <f>SUM(B18:B33)</f>
        <v>521394</v>
      </c>
      <c r="C34" s="69">
        <f>SUM(C18:C33)</f>
        <v>9906493</v>
      </c>
      <c r="D34" s="69">
        <f>SUM(D18:D33)</f>
        <v>10427888</v>
      </c>
      <c r="E34" s="72">
        <f>SUM(E18:E33)</f>
        <v>1</v>
      </c>
      <c r="G34" s="10"/>
    </row>
    <row r="36" spans="1:7">
      <c r="A36" s="359" t="s">
        <v>459</v>
      </c>
      <c r="C36" s="509" t="s">
        <v>429</v>
      </c>
      <c r="D36" s="870">
        <v>0</v>
      </c>
    </row>
    <row r="37" spans="1:7">
      <c r="A37" t="s">
        <v>213</v>
      </c>
      <c r="C37" s="509" t="s">
        <v>430</v>
      </c>
      <c r="D37" s="9">
        <f>SUM(D34:D36)</f>
        <v>10427888</v>
      </c>
    </row>
  </sheetData>
  <sheetProtection algorithmName="SHA-512" hashValue="Gx+cbulBWakCIqghOB7eNBPI+G7bLEdmcc0n6SiDpeiKT8ATKcZTHCV/ytxHcTenimF9aQ/JT5H9Ob9INya8WA==" saltValue="NhhLVfuToqQsrxccVsYR/Q==" spinCount="100000" sheet="1" objects="1" scenarios="1"/>
  <sortState xmlns:xlrd2="http://schemas.microsoft.com/office/spreadsheetml/2017/richdata2" ref="A18:F33">
    <sortCondition ref="A18"/>
  </sortState>
  <pageMargins left="0.75" right="0.75" top="1" bottom="0.5" header="0.25" footer="0.3"/>
  <pageSetup orientation="landscape" horizontalDpi="1200" verticalDpi="1200" r:id="rId1"/>
  <headerFooter>
    <oddHeader>&amp;L&amp;G&amp;C&amp;"-,Bold"&amp;16 2023-2025 planning allocation
to Area Agencies on Aging</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FFFF66"/>
  </sheetPr>
  <dimension ref="A1:H36"/>
  <sheetViews>
    <sheetView zoomScaleNormal="100" workbookViewId="0">
      <selection activeCell="A23" sqref="A23"/>
    </sheetView>
  </sheetViews>
  <sheetFormatPr defaultRowHeight="15"/>
  <cols>
    <col min="1" max="1" width="62" customWidth="1" collapsed="1"/>
    <col min="2" max="2" width="16.7109375" style="18" customWidth="1" collapsed="1"/>
    <col min="3" max="3" width="21" style="18" customWidth="1" collapsed="1"/>
    <col min="4" max="4" width="17.5703125" style="18" customWidth="1" collapsed="1"/>
    <col min="5" max="5" width="13.85546875" style="18" customWidth="1" collapsed="1"/>
    <col min="6" max="6" width="12.5703125" style="18" customWidth="1" collapsed="1"/>
    <col min="7" max="7" width="14.85546875" customWidth="1" collapsed="1"/>
    <col min="8" max="8" width="10.5703125" bestFit="1" customWidth="1" collapsed="1"/>
  </cols>
  <sheetData>
    <row r="1" spans="1:8" s="64" customFormat="1" ht="36">
      <c r="A1" s="673" t="s">
        <v>497</v>
      </c>
      <c r="B1" s="673" t="s">
        <v>22</v>
      </c>
      <c r="C1" s="673" t="s">
        <v>26</v>
      </c>
      <c r="D1" s="673" t="s">
        <v>390</v>
      </c>
      <c r="E1" s="673" t="s">
        <v>443</v>
      </c>
      <c r="F1" s="673" t="s">
        <v>444</v>
      </c>
      <c r="G1" s="673" t="s">
        <v>530</v>
      </c>
    </row>
    <row r="2" spans="1:8">
      <c r="A2" s="48" t="s">
        <v>393</v>
      </c>
      <c r="B2" s="18">
        <f>'4. Award History&amp;Projections '!$L16*0.5</f>
        <v>1555500</v>
      </c>
      <c r="C2" s="6">
        <v>0.25</v>
      </c>
      <c r="D2" s="18">
        <f>ROUND(B2*C2,0)</f>
        <v>388875</v>
      </c>
      <c r="G2" s="18">
        <f>SUM(D2:F2)</f>
        <v>388875</v>
      </c>
    </row>
    <row r="3" spans="1:8">
      <c r="A3" s="48" t="s">
        <v>441</v>
      </c>
      <c r="B3" s="18">
        <f>'4. Award History&amp;Projections '!$L17*0.5</f>
        <v>1555500</v>
      </c>
      <c r="C3" s="6">
        <v>1</v>
      </c>
      <c r="E3" s="18">
        <f>ROUND(B3*C3,0)</f>
        <v>1555500</v>
      </c>
      <c r="G3" s="18">
        <f>SUM(D3:F3)</f>
        <v>1555500</v>
      </c>
    </row>
    <row r="4" spans="1:8">
      <c r="A4" s="48" t="s">
        <v>442</v>
      </c>
      <c r="B4" s="18">
        <f>'4. Award History&amp;Projections '!$L18*0.5</f>
        <v>1555500</v>
      </c>
      <c r="C4" s="6">
        <v>0.75</v>
      </c>
      <c r="D4" s="8"/>
      <c r="E4" s="8"/>
      <c r="F4" s="8">
        <f>ROUND(B4*C4,0)</f>
        <v>1166625</v>
      </c>
      <c r="G4" s="8">
        <f>SUM(D4:F4)</f>
        <v>1166625</v>
      </c>
    </row>
    <row r="5" spans="1:8">
      <c r="A5" s="48" t="s">
        <v>23</v>
      </c>
      <c r="D5" s="18">
        <f>SUM(D2:D4)</f>
        <v>388875</v>
      </c>
      <c r="E5" s="18">
        <f>SUM(E2:E4)</f>
        <v>1555500</v>
      </c>
      <c r="F5" s="18">
        <f>SUM(F2:F4)</f>
        <v>1166625</v>
      </c>
      <c r="G5" s="18">
        <f>SUM(G2:G4)</f>
        <v>3111000</v>
      </c>
    </row>
    <row r="6" spans="1:8">
      <c r="A6" s="48" t="s">
        <v>24</v>
      </c>
      <c r="C6" s="5">
        <v>0.05</v>
      </c>
      <c r="D6" s="8">
        <f>ROUND($C$6*-D5,0)</f>
        <v>-19444</v>
      </c>
      <c r="E6" s="8">
        <f>ROUND($C$6*-E5,0)</f>
        <v>-77775</v>
      </c>
      <c r="F6" s="8">
        <f>ROUND($C$6*-F5,0)</f>
        <v>-58331</v>
      </c>
      <c r="G6" s="8">
        <f>SUM(D6:F6)</f>
        <v>-155550</v>
      </c>
    </row>
    <row r="7" spans="1:8">
      <c r="A7" s="48" t="s">
        <v>23</v>
      </c>
      <c r="D7" s="18">
        <f>SUM(D5:D6)</f>
        <v>369431</v>
      </c>
      <c r="E7" s="18">
        <f>SUM(E5:E6)</f>
        <v>1477725</v>
      </c>
      <c r="F7" s="18">
        <f>SUM(F5:F6)</f>
        <v>1108294</v>
      </c>
      <c r="G7" s="18">
        <f>SUM(G5:G6)</f>
        <v>2955450</v>
      </c>
    </row>
    <row r="8" spans="1:8" s="15" customFormat="1">
      <c r="A8" s="76"/>
      <c r="B8" s="18"/>
      <c r="C8" s="18"/>
      <c r="D8" s="17"/>
      <c r="E8" s="17"/>
      <c r="F8" s="17"/>
      <c r="G8" s="17">
        <v>0</v>
      </c>
    </row>
    <row r="9" spans="1:8" s="1" customFormat="1" ht="15.75" thickBot="1">
      <c r="A9" s="46" t="s">
        <v>29</v>
      </c>
      <c r="B9" s="10"/>
      <c r="C9" s="10"/>
      <c r="D9" s="14"/>
      <c r="E9" s="14"/>
      <c r="F9" s="14"/>
      <c r="G9" s="11">
        <f>G7</f>
        <v>2955450</v>
      </c>
    </row>
    <row r="10" spans="1:8" s="686" customFormat="1" ht="15.75" thickTop="1">
      <c r="A10" s="80"/>
      <c r="B10" s="81"/>
      <c r="C10" s="81"/>
      <c r="D10" s="82"/>
      <c r="E10" s="82"/>
      <c r="F10" s="82"/>
      <c r="G10" s="82"/>
    </row>
    <row r="11" spans="1:8">
      <c r="A11" s="63" t="s">
        <v>144</v>
      </c>
      <c r="G11" s="18"/>
    </row>
    <row r="12" spans="1:8">
      <c r="A12" s="48" t="s">
        <v>36</v>
      </c>
      <c r="B12" s="18">
        <v>0</v>
      </c>
      <c r="C12" s="18">
        <v>0</v>
      </c>
      <c r="G12" s="18">
        <f>B12*C12</f>
        <v>0</v>
      </c>
      <c r="H12" s="12"/>
    </row>
    <row r="13" spans="1:8">
      <c r="A13" s="48" t="s">
        <v>28</v>
      </c>
      <c r="C13" s="5">
        <v>0.05</v>
      </c>
      <c r="G13" s="18">
        <f>ROUND((G9-G12)*C13,0)</f>
        <v>147773</v>
      </c>
    </row>
    <row r="14" spans="1:8">
      <c r="A14" s="48" t="s">
        <v>37</v>
      </c>
      <c r="C14" s="5">
        <v>0.95</v>
      </c>
      <c r="G14" s="18">
        <f>G9-G12-G13</f>
        <v>2807677</v>
      </c>
    </row>
    <row r="15" spans="1:8" s="1" customFormat="1" ht="15.75" thickBot="1">
      <c r="A15" s="46" t="s">
        <v>29</v>
      </c>
      <c r="B15" s="10"/>
      <c r="C15" s="10"/>
      <c r="D15" s="10"/>
      <c r="E15" s="10"/>
      <c r="F15" s="10"/>
      <c r="G15" s="11">
        <f>SUM(G12:G14)</f>
        <v>2955450</v>
      </c>
    </row>
    <row r="16" spans="1:8" s="169" customFormat="1" ht="6.75" customHeight="1" thickTop="1">
      <c r="A16" s="77"/>
      <c r="B16" s="78"/>
      <c r="C16" s="78"/>
      <c r="D16" s="78"/>
      <c r="E16" s="78"/>
      <c r="F16" s="78"/>
      <c r="G16" s="77"/>
    </row>
    <row r="17" spans="1:7" s="64" customFormat="1" ht="72">
      <c r="A17" s="84" t="s">
        <v>58</v>
      </c>
      <c r="B17" s="84" t="s">
        <v>202</v>
      </c>
      <c r="C17" s="84" t="s">
        <v>203</v>
      </c>
      <c r="D17" s="84" t="s">
        <v>209</v>
      </c>
      <c r="E17" s="85" t="s">
        <v>204</v>
      </c>
      <c r="G17" s="86"/>
    </row>
    <row r="18" spans="1:7">
      <c r="A18" s="103" t="s">
        <v>72</v>
      </c>
      <c r="B18" s="68">
        <f>'3. Population-NSIP#'!C23*$G$13</f>
        <v>57546.303808244083</v>
      </c>
      <c r="C18" s="68">
        <f>'3. Population-NSIP#'!E23*$G$14</f>
        <v>140549.40826335986</v>
      </c>
      <c r="D18" s="68">
        <f>SUM(B18:C18)</f>
        <v>198095.71207160395</v>
      </c>
      <c r="E18" s="93">
        <f>D18/$D$34</f>
        <v>6.7027258817304966E-2</v>
      </c>
      <c r="G18" s="18"/>
    </row>
    <row r="19" spans="1:7">
      <c r="A19" s="103" t="s">
        <v>61</v>
      </c>
      <c r="B19" s="68">
        <v>0</v>
      </c>
      <c r="C19" s="68">
        <v>0</v>
      </c>
      <c r="D19" s="68">
        <f t="shared" ref="D19:D32" si="0">$B$12</f>
        <v>0</v>
      </c>
      <c r="E19" s="93">
        <v>0</v>
      </c>
      <c r="G19" s="18"/>
    </row>
    <row r="20" spans="1:7">
      <c r="A20" s="103" t="s">
        <v>73</v>
      </c>
      <c r="B20" s="68">
        <v>0</v>
      </c>
      <c r="C20" s="68">
        <v>0</v>
      </c>
      <c r="D20" s="68">
        <f t="shared" si="0"/>
        <v>0</v>
      </c>
      <c r="E20" s="93">
        <v>0</v>
      </c>
      <c r="G20" s="18"/>
    </row>
    <row r="21" spans="1:7">
      <c r="A21" s="103" t="s">
        <v>60</v>
      </c>
      <c r="B21" s="68">
        <v>0</v>
      </c>
      <c r="C21" s="68">
        <v>0</v>
      </c>
      <c r="D21" s="68">
        <f t="shared" si="0"/>
        <v>0</v>
      </c>
      <c r="E21" s="93">
        <v>0</v>
      </c>
      <c r="G21" s="18"/>
    </row>
    <row r="22" spans="1:7">
      <c r="A22" s="103" t="s">
        <v>541</v>
      </c>
      <c r="B22" s="68">
        <v>0</v>
      </c>
      <c r="C22" s="68">
        <v>0</v>
      </c>
      <c r="D22" s="68">
        <f t="shared" si="0"/>
        <v>0</v>
      </c>
      <c r="E22" s="93">
        <v>0</v>
      </c>
      <c r="G22" s="18"/>
    </row>
    <row r="23" spans="1:7">
      <c r="A23" s="103" t="s">
        <v>169</v>
      </c>
      <c r="B23" s="68">
        <v>0</v>
      </c>
      <c r="C23" s="68">
        <v>0</v>
      </c>
      <c r="D23" s="68">
        <f t="shared" si="0"/>
        <v>0</v>
      </c>
      <c r="E23" s="93">
        <v>0</v>
      </c>
      <c r="G23" s="18"/>
    </row>
    <row r="24" spans="1:7">
      <c r="A24" s="103" t="s">
        <v>74</v>
      </c>
      <c r="B24" s="68">
        <v>0</v>
      </c>
      <c r="C24" s="68">
        <v>0</v>
      </c>
      <c r="D24" s="68">
        <f t="shared" si="0"/>
        <v>0</v>
      </c>
      <c r="E24" s="93">
        <v>0</v>
      </c>
      <c r="G24" s="18"/>
    </row>
    <row r="25" spans="1:7">
      <c r="A25" s="103" t="s">
        <v>71</v>
      </c>
      <c r="B25" s="68">
        <v>0</v>
      </c>
      <c r="C25" s="68">
        <v>0</v>
      </c>
      <c r="D25" s="68">
        <f t="shared" si="0"/>
        <v>0</v>
      </c>
      <c r="E25" s="93">
        <v>0</v>
      </c>
      <c r="G25" s="18"/>
    </row>
    <row r="26" spans="1:7">
      <c r="A26" s="103" t="s">
        <v>65</v>
      </c>
      <c r="B26" s="68">
        <f>'3. Population-NSIP#'!C24*$G$13</f>
        <v>22029.489785922149</v>
      </c>
      <c r="C26" s="68">
        <f>'3. Population-NSIP#'!E24*$G$14</f>
        <v>389110.96173533273</v>
      </c>
      <c r="D26" s="68">
        <f>SUM(B26:C26)</f>
        <v>411140.4515212549</v>
      </c>
      <c r="E26" s="93">
        <f>D26/$D$34</f>
        <v>0.13911263987590888</v>
      </c>
      <c r="G26" s="18"/>
    </row>
    <row r="27" spans="1:7">
      <c r="A27" s="103" t="s">
        <v>221</v>
      </c>
      <c r="B27" s="68">
        <f>'3. Population-NSIP#'!C25*$G$13</f>
        <v>2086.7710371499593</v>
      </c>
      <c r="C27" s="68">
        <f>'3. Population-NSIP#'!E25*$G$14</f>
        <v>602708.79840360652</v>
      </c>
      <c r="D27" s="68">
        <f>SUM(B27:C27)</f>
        <v>604795.56944075646</v>
      </c>
      <c r="E27" s="93">
        <f>D27/$D$34</f>
        <v>0.20463738836412609</v>
      </c>
      <c r="G27" s="18"/>
    </row>
    <row r="28" spans="1:7">
      <c r="A28" s="103" t="s">
        <v>75</v>
      </c>
      <c r="B28" s="68">
        <v>0</v>
      </c>
      <c r="C28" s="68">
        <v>0</v>
      </c>
      <c r="D28" s="68">
        <f t="shared" si="0"/>
        <v>0</v>
      </c>
      <c r="E28" s="93">
        <v>0</v>
      </c>
      <c r="G28" s="18"/>
    </row>
    <row r="29" spans="1:7">
      <c r="A29" s="103" t="s">
        <v>59</v>
      </c>
      <c r="B29" s="68">
        <f>'3. Population-NSIP#'!C26*$G$13</f>
        <v>22114.112149566368</v>
      </c>
      <c r="C29" s="68">
        <f>'3. Population-NSIP#'!E26*$G$14</f>
        <v>554533.37479159853</v>
      </c>
      <c r="D29" s="68">
        <f>SUM(B29:C29)</f>
        <v>576647.48694116494</v>
      </c>
      <c r="E29" s="93">
        <f>D29/$D$34</f>
        <v>0.19511326090482498</v>
      </c>
      <c r="G29" s="18"/>
    </row>
    <row r="30" spans="1:7">
      <c r="A30" s="103" t="s">
        <v>64</v>
      </c>
      <c r="B30" s="68">
        <f>'3. Population-NSIP#'!C27*$G$13</f>
        <v>19091.269717662406</v>
      </c>
      <c r="C30" s="68">
        <f>'3. Population-NSIP#'!E27*$G$14</f>
        <v>278701.89407326159</v>
      </c>
      <c r="D30" s="68">
        <f>SUM(B30:C30)</f>
        <v>297793.16379092401</v>
      </c>
      <c r="E30" s="93">
        <f>D30/$D$34</f>
        <v>0.10076068408903011</v>
      </c>
      <c r="G30" s="18"/>
    </row>
    <row r="31" spans="1:7">
      <c r="A31" s="103" t="s">
        <v>68</v>
      </c>
      <c r="B31" s="68">
        <f>'3. Population-NSIP#'!C28*$G$13</f>
        <v>21400.990927295257</v>
      </c>
      <c r="C31" s="68">
        <f>'3. Population-NSIP#'!E28*$G$14</f>
        <v>383149.79818385642</v>
      </c>
      <c r="D31" s="68">
        <f>SUM(B31:C31)</f>
        <v>404550.78911115165</v>
      </c>
      <c r="E31" s="93">
        <f>D31/$D$34</f>
        <v>0.13688297521905349</v>
      </c>
      <c r="G31" s="18"/>
    </row>
    <row r="32" spans="1:7">
      <c r="A32" s="103" t="s">
        <v>67</v>
      </c>
      <c r="B32" s="68">
        <v>0</v>
      </c>
      <c r="C32" s="68">
        <v>0</v>
      </c>
      <c r="D32" s="68">
        <f t="shared" si="0"/>
        <v>0</v>
      </c>
      <c r="E32" s="93">
        <v>0</v>
      </c>
      <c r="G32" s="18"/>
    </row>
    <row r="33" spans="1:7">
      <c r="A33" s="103" t="s">
        <v>63</v>
      </c>
      <c r="B33" s="68">
        <f>'3. Population-NSIP#'!C29*$G$13</f>
        <v>3504.0625741597842</v>
      </c>
      <c r="C33" s="68">
        <f>'3. Population-NSIP#'!E29*$G$14</f>
        <v>458922.7645489843</v>
      </c>
      <c r="D33" s="68">
        <f>SUM(B33:C33)</f>
        <v>462426.82712314406</v>
      </c>
      <c r="E33" s="93">
        <f>D33/$D$34</f>
        <v>0.1564657927297515</v>
      </c>
      <c r="G33" s="18"/>
    </row>
    <row r="34" spans="1:7" s="1" customFormat="1">
      <c r="A34" s="71" t="s">
        <v>29</v>
      </c>
      <c r="B34" s="69">
        <f>SUM(B18:B33)</f>
        <v>147773</v>
      </c>
      <c r="C34" s="69">
        <f>SUM(C18:C33)</f>
        <v>2807677</v>
      </c>
      <c r="D34" s="69">
        <f>SUM(D18:D33)</f>
        <v>2955450</v>
      </c>
      <c r="E34" s="72">
        <f>SUM(E18:E33)</f>
        <v>1</v>
      </c>
      <c r="G34" s="10"/>
    </row>
    <row r="35" spans="1:7">
      <c r="C35" s="509"/>
    </row>
    <row r="36" spans="1:7">
      <c r="A36" s="359" t="s">
        <v>460</v>
      </c>
      <c r="C36" s="509"/>
    </row>
  </sheetData>
  <sheetProtection algorithmName="SHA-512" hashValue="dQfWu849H8RkQredpcASqy3FkCI4ebvTCRVjrUUyKKAi6mycCOZlZzUiZhEeVsBYzzbi8cBxzDBuilsic6P8EA==" saltValue="xWoqCs3Ca/cOLupe0uoWbg==" spinCount="100000" sheet="1" objects="1" scenarios="1"/>
  <pageMargins left="0.75" right="0.75" top="1" bottom="0.5" header="0.25" footer="0.3"/>
  <pageSetup orientation="landscape" horizontalDpi="1200" verticalDpi="1200" r:id="rId1"/>
  <headerFooter>
    <oddHeader>&amp;L&amp;G&amp;C&amp;"-,Bold"&amp;16 2023-2025 planning allocation
to Area Agencies on Aging</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tabColor rgb="FF00B0F0"/>
  </sheetPr>
  <dimension ref="A1:EK68"/>
  <sheetViews>
    <sheetView showGridLines="0" topLeftCell="B1" zoomScaleNormal="100" zoomScaleSheetLayoutView="75" zoomScalePageLayoutView="85" workbookViewId="0">
      <selection activeCell="E2" sqref="E2"/>
    </sheetView>
  </sheetViews>
  <sheetFormatPr defaultColWidth="9.140625" defaultRowHeight="15.75"/>
  <cols>
    <col min="1" max="1" width="10.7109375" style="36" hidden="1" customWidth="1" collapsed="1"/>
    <col min="2" max="2" width="12.5703125" style="34" customWidth="1" collapsed="1"/>
    <col min="3" max="3" width="10.7109375" style="36" hidden="1" customWidth="1" collapsed="1"/>
    <col min="4" max="4" width="14.7109375" style="36" customWidth="1" collapsed="1"/>
    <col min="5" max="5" width="12.42578125" style="36" customWidth="1" collapsed="1"/>
    <col min="6" max="6" width="12.28515625" style="36" customWidth="1" collapsed="1"/>
    <col min="7" max="7" width="12.42578125" style="36" customWidth="1" collapsed="1"/>
    <col min="8" max="8" width="12.28515625" style="36" customWidth="1" collapsed="1"/>
    <col min="9" max="9" width="12" style="36" customWidth="1" collapsed="1"/>
    <col min="10" max="10" width="12.140625" style="36" customWidth="1" collapsed="1"/>
    <col min="11" max="11" width="13.5703125" style="36" bestFit="1" customWidth="1" collapsed="1"/>
    <col min="12" max="12" width="13.7109375" style="36" bestFit="1" customWidth="1" collapsed="1"/>
    <col min="13" max="13" width="13.5703125" style="36" customWidth="1" collapsed="1"/>
    <col min="14" max="14" width="17.28515625" style="36" bestFit="1" customWidth="1" collapsed="1"/>
    <col min="15" max="15" width="13.42578125" style="36" customWidth="1" collapsed="1"/>
    <col min="16" max="16" width="13.140625" style="36" customWidth="1" collapsed="1"/>
    <col min="17" max="17" width="12.85546875" style="36" customWidth="1" collapsed="1"/>
    <col min="18" max="18" width="11.42578125" style="36" customWidth="1" collapsed="1"/>
    <col min="19" max="16384" width="9.140625" style="36" collapsed="1"/>
  </cols>
  <sheetData>
    <row r="1" spans="1:141" s="250" customFormat="1" ht="52.5" customHeight="1">
      <c r="B1" s="251"/>
      <c r="J1" s="252" t="s">
        <v>520</v>
      </c>
      <c r="K1" s="252" t="s">
        <v>194</v>
      </c>
      <c r="L1" s="252" t="s">
        <v>195</v>
      </c>
      <c r="M1" s="707" t="s">
        <v>192</v>
      </c>
      <c r="N1" s="707" t="s">
        <v>197</v>
      </c>
      <c r="O1" s="252" t="s">
        <v>196</v>
      </c>
      <c r="P1" s="252" t="s">
        <v>81</v>
      </c>
      <c r="Q1" s="252" t="s">
        <v>385</v>
      </c>
      <c r="R1" s="252" t="s">
        <v>215</v>
      </c>
    </row>
    <row r="2" spans="1:141" s="252" customFormat="1" ht="78.75">
      <c r="A2" s="728"/>
      <c r="B2" s="807" t="s">
        <v>58</v>
      </c>
      <c r="C2" s="807" t="s">
        <v>90</v>
      </c>
      <c r="D2" s="807" t="s">
        <v>91</v>
      </c>
      <c r="E2" s="808" t="s">
        <v>82</v>
      </c>
      <c r="F2" s="808" t="s">
        <v>83</v>
      </c>
      <c r="G2" s="808" t="s">
        <v>84</v>
      </c>
      <c r="H2" s="808" t="s">
        <v>85</v>
      </c>
      <c r="I2" s="727" t="s">
        <v>86</v>
      </c>
      <c r="J2" s="727" t="s">
        <v>87</v>
      </c>
      <c r="K2" s="727" t="s">
        <v>88</v>
      </c>
      <c r="L2" s="727" t="s">
        <v>89</v>
      </c>
      <c r="M2" s="727" t="s">
        <v>149</v>
      </c>
      <c r="N2" s="727" t="s">
        <v>408</v>
      </c>
      <c r="O2" s="727" t="s">
        <v>163</v>
      </c>
      <c r="P2" s="727" t="s">
        <v>407</v>
      </c>
      <c r="Q2" s="727" t="s">
        <v>384</v>
      </c>
      <c r="R2" s="808" t="s">
        <v>216</v>
      </c>
    </row>
    <row r="3" spans="1:141">
      <c r="A3" s="253">
        <v>1</v>
      </c>
      <c r="B3" s="262" t="s">
        <v>59</v>
      </c>
      <c r="C3" s="263" t="s">
        <v>92</v>
      </c>
      <c r="D3" s="262" t="s">
        <v>93</v>
      </c>
      <c r="E3" s="346">
        <v>2696.5119912025752</v>
      </c>
      <c r="F3" s="346">
        <v>3003.0603830333503</v>
      </c>
      <c r="G3" s="346">
        <v>2473.4947360790302</v>
      </c>
      <c r="H3" s="346">
        <v>1646.8271903446694</v>
      </c>
      <c r="I3" s="346">
        <v>985.31346898496929</v>
      </c>
      <c r="J3" s="346">
        <v>1081.0145651403589</v>
      </c>
      <c r="K3" s="708">
        <f>SUM(E3:J3)</f>
        <v>11886.222334784952</v>
      </c>
      <c r="L3" s="256">
        <f>SUM(H3:J3)</f>
        <v>3713.1552244699978</v>
      </c>
      <c r="M3" s="256">
        <v>556</v>
      </c>
      <c r="N3" s="256">
        <v>595</v>
      </c>
      <c r="O3" s="256">
        <f>SUM(K3:N3)</f>
        <v>16750.37755925495</v>
      </c>
      <c r="P3" s="256">
        <f>SUM(G3:J3)+M3+N3</f>
        <v>7337.649960549028</v>
      </c>
      <c r="Q3" s="256">
        <v>829.05</v>
      </c>
      <c r="R3" s="485">
        <f>SUM(L3:N3)</f>
        <v>4864.1552244699978</v>
      </c>
    </row>
    <row r="4" spans="1:141">
      <c r="A4" s="253">
        <v>1</v>
      </c>
      <c r="B4" s="262" t="s">
        <v>59</v>
      </c>
      <c r="C4" s="263" t="s">
        <v>92</v>
      </c>
      <c r="D4" s="262" t="s">
        <v>94</v>
      </c>
      <c r="E4" s="346">
        <v>20026.261463124112</v>
      </c>
      <c r="F4" s="346">
        <v>17433.146023706395</v>
      </c>
      <c r="G4" s="346">
        <v>14989.824053008022</v>
      </c>
      <c r="H4" s="346">
        <v>11247.16702343605</v>
      </c>
      <c r="I4" s="346">
        <v>7415.4872725219466</v>
      </c>
      <c r="J4" s="346">
        <v>6654.277907894867</v>
      </c>
      <c r="K4" s="708">
        <f t="shared" ref="K4:K61" si="0">SUM(E4:J4)</f>
        <v>77766.163743691388</v>
      </c>
      <c r="L4" s="256">
        <f t="shared" ref="L4:L61" si="1">SUM(H4:J4)</f>
        <v>25316.932203852863</v>
      </c>
      <c r="M4" s="256">
        <v>6682</v>
      </c>
      <c r="N4" s="256">
        <v>3667</v>
      </c>
      <c r="O4" s="256">
        <f t="shared" ref="O4:O61" si="2">SUM(K4:N4)</f>
        <v>113432.09594754425</v>
      </c>
      <c r="P4" s="256">
        <f t="shared" ref="P4:P61" si="3">SUM(G4:J4)+M4+N4</f>
        <v>50655.756256860885</v>
      </c>
      <c r="Q4" s="484">
        <v>1182.33</v>
      </c>
      <c r="R4" s="485">
        <f>SUM(L4:N4)</f>
        <v>35665.932203852863</v>
      </c>
    </row>
    <row r="5" spans="1:141">
      <c r="A5" s="253">
        <v>1</v>
      </c>
      <c r="B5" s="262" t="s">
        <v>59</v>
      </c>
      <c r="C5" s="263" t="s">
        <v>92</v>
      </c>
      <c r="D5" s="262" t="s">
        <v>95</v>
      </c>
      <c r="E5" s="346">
        <v>4751.3414097352588</v>
      </c>
      <c r="F5" s="346">
        <v>4686.0147956175551</v>
      </c>
      <c r="G5" s="346">
        <v>4117.8000580731059</v>
      </c>
      <c r="H5" s="346">
        <v>3151.2492522805769</v>
      </c>
      <c r="I5" s="346">
        <v>2039.5004416511965</v>
      </c>
      <c r="J5" s="346">
        <v>1747.8633793433605</v>
      </c>
      <c r="K5" s="708">
        <f t="shared" si="0"/>
        <v>20493.769336701058</v>
      </c>
      <c r="L5" s="256">
        <f t="shared" si="1"/>
        <v>6938.6130732751335</v>
      </c>
      <c r="M5" s="256">
        <v>1291</v>
      </c>
      <c r="N5" s="256">
        <v>983</v>
      </c>
      <c r="O5" s="256">
        <f t="shared" si="2"/>
        <v>29706.382409976191</v>
      </c>
      <c r="P5" s="256">
        <f t="shared" si="3"/>
        <v>13330.413131348239</v>
      </c>
      <c r="Q5" s="484">
        <v>740.79</v>
      </c>
      <c r="R5" s="485">
        <f>SUM(L5:N5)</f>
        <v>9212.6130732751335</v>
      </c>
    </row>
    <row r="6" spans="1:141">
      <c r="A6" s="253">
        <v>1</v>
      </c>
      <c r="B6" s="734" t="s">
        <v>59</v>
      </c>
      <c r="C6" s="735" t="s">
        <v>92</v>
      </c>
      <c r="D6" s="734" t="s">
        <v>96</v>
      </c>
      <c r="E6" s="736">
        <v>2415.4564927713109</v>
      </c>
      <c r="F6" s="736">
        <v>2453.2134432359571</v>
      </c>
      <c r="G6" s="736">
        <v>1929.8484844256666</v>
      </c>
      <c r="H6" s="736">
        <v>1262.3087152631683</v>
      </c>
      <c r="I6" s="736">
        <v>782.26787646591436</v>
      </c>
      <c r="J6" s="736">
        <v>656.19133045675255</v>
      </c>
      <c r="K6" s="737">
        <f t="shared" si="0"/>
        <v>9499.2863426187705</v>
      </c>
      <c r="L6" s="738">
        <f t="shared" si="1"/>
        <v>2700.7679221858352</v>
      </c>
      <c r="M6" s="738">
        <v>396</v>
      </c>
      <c r="N6" s="738">
        <v>320</v>
      </c>
      <c r="O6" s="738">
        <f>SUM(K6:N6)</f>
        <v>12916.054264804607</v>
      </c>
      <c r="P6" s="738">
        <f>SUM(G6:J6)+M6+N6</f>
        <v>5346.6164066115025</v>
      </c>
      <c r="Q6" s="739">
        <v>1102.58</v>
      </c>
      <c r="R6" s="738">
        <f>SUM(L6:N6)</f>
        <v>3416.7679221858352</v>
      </c>
    </row>
    <row r="7" spans="1:141" s="348" customFormat="1">
      <c r="A7" s="733">
        <v>1</v>
      </c>
      <c r="B7" s="734" t="s">
        <v>59</v>
      </c>
      <c r="C7" s="735" t="s">
        <v>92</v>
      </c>
      <c r="D7" s="734" t="s">
        <v>97</v>
      </c>
      <c r="E7" s="736">
        <v>7186.938213329493</v>
      </c>
      <c r="F7" s="736">
        <v>6498.7409689237174</v>
      </c>
      <c r="G7" s="736">
        <v>4977.3801983002068</v>
      </c>
      <c r="H7" s="736">
        <v>3539.0453876628817</v>
      </c>
      <c r="I7" s="736">
        <v>2211.8670350057964</v>
      </c>
      <c r="J7" s="736">
        <v>2603.4713561797994</v>
      </c>
      <c r="K7" s="737">
        <f>SUM(E7:J7)</f>
        <v>27017.44315940189</v>
      </c>
      <c r="L7" s="738">
        <f t="shared" si="1"/>
        <v>8354.383778848478</v>
      </c>
      <c r="M7" s="738">
        <v>1706</v>
      </c>
      <c r="N7" s="738">
        <v>1277</v>
      </c>
      <c r="O7" s="738">
        <f t="shared" si="2"/>
        <v>38354.826938250364</v>
      </c>
      <c r="P7" s="738">
        <f t="shared" si="3"/>
        <v>16314.763977148685</v>
      </c>
      <c r="Q7" s="739">
        <v>715.86</v>
      </c>
      <c r="R7" s="738">
        <f>SUM(L7:N7)</f>
        <v>11337.383778848478</v>
      </c>
    </row>
    <row r="8" spans="1:141" s="753" customFormat="1">
      <c r="A8" s="749"/>
      <c r="B8" s="750"/>
      <c r="C8" s="751"/>
      <c r="D8" s="695" t="s">
        <v>98</v>
      </c>
      <c r="E8" s="695">
        <f>SUM(E3:E7)</f>
        <v>37076.509570162751</v>
      </c>
      <c r="F8" s="740">
        <f t="shared" ref="F8:Q8" si="4">SUM(F3:F7)</f>
        <v>34074.175614516978</v>
      </c>
      <c r="G8" s="740">
        <f t="shared" si="4"/>
        <v>28488.347529886036</v>
      </c>
      <c r="H8" s="740">
        <f t="shared" si="4"/>
        <v>20846.597568987345</v>
      </c>
      <c r="I8" s="740">
        <f t="shared" si="4"/>
        <v>13434.436094629822</v>
      </c>
      <c r="J8" s="740">
        <f t="shared" si="4"/>
        <v>12742.818539015139</v>
      </c>
      <c r="K8" s="741">
        <f>SUM(E8:J8)</f>
        <v>146662.88491719804</v>
      </c>
      <c r="L8" s="740">
        <f t="shared" si="4"/>
        <v>47023.852202632304</v>
      </c>
      <c r="M8" s="740">
        <f t="shared" si="4"/>
        <v>10631</v>
      </c>
      <c r="N8" s="740">
        <f t="shared" si="4"/>
        <v>6842</v>
      </c>
      <c r="O8" s="740">
        <f t="shared" si="4"/>
        <v>211159.73711983036</v>
      </c>
      <c r="P8" s="740">
        <f t="shared" si="4"/>
        <v>92985.199732518333</v>
      </c>
      <c r="Q8" s="740">
        <f t="shared" si="4"/>
        <v>4570.6099999999997</v>
      </c>
      <c r="R8" s="752">
        <f>SUM(R3:R7)</f>
        <v>64496.852202632304</v>
      </c>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c r="CW8" s="33"/>
      <c r="CX8" s="33"/>
      <c r="CY8" s="33"/>
      <c r="CZ8" s="33"/>
      <c r="DA8" s="33"/>
      <c r="DB8" s="33"/>
      <c r="DC8" s="33"/>
      <c r="DD8" s="33"/>
      <c r="DE8" s="33"/>
      <c r="DF8" s="33"/>
      <c r="DG8" s="33"/>
      <c r="DH8" s="33"/>
      <c r="DI8" s="33"/>
      <c r="DJ8" s="33"/>
      <c r="DK8" s="33"/>
      <c r="DL8" s="33"/>
      <c r="DM8" s="33"/>
      <c r="DN8" s="33"/>
      <c r="DO8" s="33"/>
      <c r="DP8" s="33"/>
      <c r="DQ8" s="33"/>
      <c r="DR8" s="33"/>
      <c r="DS8" s="33"/>
      <c r="DT8" s="33"/>
      <c r="DU8" s="33"/>
      <c r="DV8" s="33"/>
      <c r="DW8" s="33"/>
      <c r="DX8" s="33"/>
      <c r="DY8" s="33"/>
      <c r="DZ8" s="33"/>
      <c r="EA8" s="33"/>
      <c r="EB8" s="33"/>
      <c r="EC8" s="33"/>
      <c r="ED8" s="33"/>
      <c r="EE8" s="33"/>
      <c r="EF8" s="33"/>
      <c r="EG8" s="33"/>
      <c r="EH8" s="33"/>
      <c r="EI8" s="33"/>
      <c r="EJ8" s="33"/>
      <c r="EK8" s="33"/>
    </row>
    <row r="9" spans="1:141" s="348" customFormat="1">
      <c r="A9" s="349"/>
      <c r="B9" s="742"/>
      <c r="C9" s="743"/>
      <c r="D9" s="743"/>
      <c r="E9" s="744"/>
      <c r="F9" s="744"/>
      <c r="G9" s="744"/>
      <c r="H9" s="744"/>
      <c r="I9" s="744"/>
      <c r="J9" s="744"/>
      <c r="K9" s="737"/>
      <c r="L9" s="744"/>
      <c r="M9" s="744"/>
      <c r="N9" s="744"/>
      <c r="O9" s="744"/>
      <c r="P9" s="744"/>
      <c r="Q9" s="744"/>
      <c r="R9" s="738"/>
    </row>
    <row r="10" spans="1:141" s="348" customFormat="1">
      <c r="A10" s="349">
        <v>2</v>
      </c>
      <c r="B10" s="738" t="s">
        <v>60</v>
      </c>
      <c r="C10" s="745" t="s">
        <v>99</v>
      </c>
      <c r="D10" s="744" t="s">
        <v>100</v>
      </c>
      <c r="E10" s="736">
        <v>36802.343632137228</v>
      </c>
      <c r="F10" s="736">
        <v>32244.984666250104</v>
      </c>
      <c r="G10" s="736">
        <v>23267.239145281252</v>
      </c>
      <c r="H10" s="736">
        <v>13236.000132818237</v>
      </c>
      <c r="I10" s="736">
        <v>7727.7317155502469</v>
      </c>
      <c r="J10" s="736">
        <v>7367.489611060224</v>
      </c>
      <c r="K10" s="737">
        <f>SUM(E10:J10)</f>
        <v>120645.7889030973</v>
      </c>
      <c r="L10" s="738">
        <f t="shared" si="1"/>
        <v>28331.221459428707</v>
      </c>
      <c r="M10" s="738">
        <v>6230</v>
      </c>
      <c r="N10" s="738">
        <v>4967</v>
      </c>
      <c r="O10" s="738">
        <f t="shared" si="2"/>
        <v>160174.01036252599</v>
      </c>
      <c r="P10" s="738">
        <f t="shared" si="3"/>
        <v>62795.460604709951</v>
      </c>
      <c r="Q10" s="744">
        <v>1870.32</v>
      </c>
      <c r="R10" s="738">
        <f>SUM(L10:N10)</f>
        <v>39528.221459428707</v>
      </c>
    </row>
    <row r="11" spans="1:141" s="348" customFormat="1">
      <c r="A11" s="349"/>
      <c r="B11" s="738"/>
      <c r="C11" s="745"/>
      <c r="D11" s="744"/>
      <c r="E11" s="746"/>
      <c r="F11" s="746"/>
      <c r="G11" s="746"/>
      <c r="H11" s="746"/>
      <c r="I11" s="746"/>
      <c r="J11" s="746"/>
      <c r="K11" s="747"/>
      <c r="L11" s="738"/>
      <c r="M11" s="738"/>
      <c r="N11" s="738"/>
      <c r="O11" s="738"/>
      <c r="P11" s="738"/>
      <c r="Q11" s="744"/>
      <c r="R11" s="738"/>
    </row>
    <row r="12" spans="1:141" s="753" customFormat="1">
      <c r="A12" s="754">
        <v>2</v>
      </c>
      <c r="B12" s="755" t="s">
        <v>61</v>
      </c>
      <c r="C12" s="756" t="s">
        <v>101</v>
      </c>
      <c r="D12" s="752" t="s">
        <v>102</v>
      </c>
      <c r="E12" s="757">
        <v>4295.3608841018759</v>
      </c>
      <c r="F12" s="757">
        <v>3714.4232744431079</v>
      </c>
      <c r="G12" s="757">
        <v>2919.7342432595478</v>
      </c>
      <c r="H12" s="757">
        <v>1906.0537018107921</v>
      </c>
      <c r="I12" s="757">
        <v>1050.92149187006</v>
      </c>
      <c r="J12" s="757">
        <v>1054.8098081891353</v>
      </c>
      <c r="K12" s="758">
        <f t="shared" si="0"/>
        <v>14941.303403674519</v>
      </c>
      <c r="L12" s="755">
        <f>SUM(H12:J12)</f>
        <v>4011.7850018699874</v>
      </c>
      <c r="M12" s="755">
        <v>585</v>
      </c>
      <c r="N12" s="755">
        <v>484</v>
      </c>
      <c r="O12" s="755">
        <f>SUM(K12:N12)</f>
        <v>20022.088405544506</v>
      </c>
      <c r="P12" s="755">
        <f t="shared" si="3"/>
        <v>8000.5192451295352</v>
      </c>
      <c r="Q12" s="755">
        <v>657.36</v>
      </c>
      <c r="R12" s="755">
        <f t="shared" ref="R12:R20" si="5">SUM(L12:N12)</f>
        <v>5080.7850018699874</v>
      </c>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c r="CW12" s="33"/>
      <c r="CX12" s="33"/>
      <c r="CY12" s="33"/>
      <c r="CZ12" s="33"/>
      <c r="DA12" s="33"/>
      <c r="DB12" s="33"/>
      <c r="DC12" s="33"/>
      <c r="DD12" s="33"/>
      <c r="DE12" s="33"/>
      <c r="DF12" s="33"/>
      <c r="DG12" s="33"/>
      <c r="DH12" s="33"/>
      <c r="DI12" s="33"/>
      <c r="DJ12" s="33"/>
      <c r="DK12" s="33"/>
      <c r="DL12" s="33"/>
      <c r="DM12" s="33"/>
      <c r="DN12" s="33"/>
      <c r="DO12" s="33"/>
      <c r="DP12" s="33"/>
      <c r="DQ12" s="33"/>
      <c r="DR12" s="33"/>
      <c r="DS12" s="33"/>
      <c r="DT12" s="33"/>
      <c r="DU12" s="33"/>
      <c r="DV12" s="33"/>
      <c r="DW12" s="33"/>
      <c r="DX12" s="33"/>
      <c r="DY12" s="33"/>
      <c r="DZ12" s="33"/>
      <c r="EA12" s="33"/>
      <c r="EB12" s="33"/>
      <c r="EC12" s="33"/>
      <c r="ED12" s="33"/>
      <c r="EE12" s="33"/>
      <c r="EF12" s="33"/>
      <c r="EG12" s="33"/>
      <c r="EH12" s="33"/>
      <c r="EI12" s="33"/>
      <c r="EJ12" s="33"/>
      <c r="EK12" s="33"/>
    </row>
    <row r="13" spans="1:141" s="348" customFormat="1">
      <c r="A13" s="349"/>
      <c r="B13" s="738"/>
      <c r="C13" s="745"/>
      <c r="D13" s="744"/>
      <c r="E13" s="736"/>
      <c r="F13" s="736"/>
      <c r="G13" s="736"/>
      <c r="H13" s="736"/>
      <c r="I13" s="736"/>
      <c r="J13" s="736"/>
      <c r="K13" s="737"/>
      <c r="L13" s="738"/>
      <c r="M13" s="738"/>
      <c r="N13" s="738"/>
      <c r="O13" s="738"/>
      <c r="P13" s="738"/>
      <c r="Q13" s="739"/>
      <c r="R13" s="738"/>
    </row>
    <row r="14" spans="1:141" s="348" customFormat="1">
      <c r="A14" s="349">
        <v>2</v>
      </c>
      <c r="B14" s="738" t="s">
        <v>531</v>
      </c>
      <c r="C14" s="745" t="s">
        <v>103</v>
      </c>
      <c r="D14" s="744" t="s">
        <v>104</v>
      </c>
      <c r="E14" s="736">
        <v>45326.650466161445</v>
      </c>
      <c r="F14" s="736">
        <v>40687.621506030453</v>
      </c>
      <c r="G14" s="736">
        <v>30794.861607768275</v>
      </c>
      <c r="H14" s="736">
        <v>18729.77773106116</v>
      </c>
      <c r="I14" s="736">
        <v>11146.714949516318</v>
      </c>
      <c r="J14" s="736">
        <v>11739.62427180369</v>
      </c>
      <c r="K14" s="737">
        <f t="shared" si="0"/>
        <v>158425.25053234134</v>
      </c>
      <c r="L14" s="738">
        <f t="shared" si="1"/>
        <v>41616.11695238117</v>
      </c>
      <c r="M14" s="738">
        <v>19387</v>
      </c>
      <c r="N14" s="738">
        <v>10076</v>
      </c>
      <c r="O14" s="738">
        <f t="shared" si="2"/>
        <v>229504.36748472252</v>
      </c>
      <c r="P14" s="738">
        <f t="shared" si="3"/>
        <v>101873.97856014945</v>
      </c>
      <c r="Q14" s="739">
        <v>431.3</v>
      </c>
      <c r="R14" s="738">
        <f t="shared" si="5"/>
        <v>71079.11695238117</v>
      </c>
    </row>
    <row r="15" spans="1:141" s="348" customFormat="1">
      <c r="A15" s="349"/>
      <c r="B15" s="738"/>
      <c r="C15" s="745"/>
      <c r="D15" s="744"/>
      <c r="E15" s="746"/>
      <c r="F15" s="746"/>
      <c r="G15" s="746"/>
      <c r="H15" s="746"/>
      <c r="I15" s="746"/>
      <c r="J15" s="746"/>
      <c r="K15" s="737"/>
      <c r="L15" s="738"/>
      <c r="M15" s="738"/>
      <c r="N15" s="738"/>
      <c r="O15" s="738"/>
      <c r="P15" s="738"/>
      <c r="Q15" s="739"/>
      <c r="R15" s="738"/>
    </row>
    <row r="16" spans="1:141" s="753" customFormat="1">
      <c r="A16" s="754">
        <v>2</v>
      </c>
      <c r="B16" s="755" t="s">
        <v>63</v>
      </c>
      <c r="C16" s="756" t="s">
        <v>105</v>
      </c>
      <c r="D16" s="752" t="s">
        <v>106</v>
      </c>
      <c r="E16" s="757">
        <v>35205.375118155745</v>
      </c>
      <c r="F16" s="757">
        <v>29127.246302377374</v>
      </c>
      <c r="G16" s="757">
        <v>22688.7099832815</v>
      </c>
      <c r="H16" s="757">
        <v>14808.092802435585</v>
      </c>
      <c r="I16" s="757">
        <v>9523.1946694118342</v>
      </c>
      <c r="J16" s="757">
        <v>10556.221756102272</v>
      </c>
      <c r="K16" s="758">
        <f t="shared" si="0"/>
        <v>121908.84063176431</v>
      </c>
      <c r="L16" s="755">
        <f t="shared" si="1"/>
        <v>34887.509227949689</v>
      </c>
      <c r="M16" s="755">
        <v>13277</v>
      </c>
      <c r="N16" s="755">
        <v>4679</v>
      </c>
      <c r="O16" s="755">
        <f t="shared" si="2"/>
        <v>174752.34985971398</v>
      </c>
      <c r="P16" s="755">
        <f t="shared" si="3"/>
        <v>75532.21921123119</v>
      </c>
      <c r="Q16" s="755">
        <v>724.23</v>
      </c>
      <c r="R16" s="755">
        <f t="shared" si="5"/>
        <v>52843.509227949689</v>
      </c>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row>
    <row r="17" spans="1:18" s="348" customFormat="1">
      <c r="A17" s="349"/>
      <c r="B17" s="738"/>
      <c r="C17" s="745"/>
      <c r="D17" s="744"/>
      <c r="E17" s="736"/>
      <c r="F17" s="736"/>
      <c r="G17" s="736"/>
      <c r="H17" s="736"/>
      <c r="I17" s="736"/>
      <c r="J17" s="736"/>
      <c r="K17" s="737"/>
      <c r="L17" s="738"/>
      <c r="M17" s="738"/>
      <c r="N17" s="738"/>
      <c r="O17" s="738"/>
      <c r="P17" s="738"/>
      <c r="Q17" s="739"/>
      <c r="R17" s="738"/>
    </row>
    <row r="18" spans="1:18" s="348" customFormat="1">
      <c r="A18" s="349">
        <v>4</v>
      </c>
      <c r="B18" s="738" t="s">
        <v>64</v>
      </c>
      <c r="C18" s="745" t="s">
        <v>107</v>
      </c>
      <c r="D18" s="744" t="s">
        <v>108</v>
      </c>
      <c r="E18" s="736">
        <v>5341.0574072747868</v>
      </c>
      <c r="F18" s="736">
        <v>5618.0343413330265</v>
      </c>
      <c r="G18" s="736">
        <v>4634.9057671460105</v>
      </c>
      <c r="H18" s="736">
        <v>3165.6475913510903</v>
      </c>
      <c r="I18" s="736">
        <v>1940.0801400168673</v>
      </c>
      <c r="J18" s="736">
        <v>2119.3287946076789</v>
      </c>
      <c r="K18" s="737">
        <f>SUM(E18:J18)</f>
        <v>22819.054041729461</v>
      </c>
      <c r="L18" s="738">
        <f t="shared" si="1"/>
        <v>7225.0565259756368</v>
      </c>
      <c r="M18" s="738">
        <v>1122</v>
      </c>
      <c r="N18" s="738">
        <v>920</v>
      </c>
      <c r="O18" s="738">
        <f t="shared" si="2"/>
        <v>32086.110567705098</v>
      </c>
      <c r="P18" s="738">
        <f t="shared" si="3"/>
        <v>13901.962293121647</v>
      </c>
      <c r="Q18" s="739">
        <v>675.94</v>
      </c>
      <c r="R18" s="738">
        <f t="shared" si="5"/>
        <v>9267.0565259756368</v>
      </c>
    </row>
    <row r="19" spans="1:18" s="348" customFormat="1">
      <c r="A19" s="349">
        <v>4</v>
      </c>
      <c r="B19" s="738" t="s">
        <v>64</v>
      </c>
      <c r="C19" s="745" t="s">
        <v>107</v>
      </c>
      <c r="D19" s="744" t="s">
        <v>109</v>
      </c>
      <c r="E19" s="736">
        <v>4380.0024880336387</v>
      </c>
      <c r="F19" s="736">
        <v>4777.983277406518</v>
      </c>
      <c r="G19" s="736">
        <v>4150.9533515242274</v>
      </c>
      <c r="H19" s="736">
        <v>2788.1461067898035</v>
      </c>
      <c r="I19" s="736">
        <v>1573.889467450522</v>
      </c>
      <c r="J19" s="736">
        <v>1340.6626605354882</v>
      </c>
      <c r="K19" s="737">
        <f t="shared" si="0"/>
        <v>19011.637351740195</v>
      </c>
      <c r="L19" s="738">
        <f t="shared" si="1"/>
        <v>5702.698234775813</v>
      </c>
      <c r="M19" s="738">
        <v>1054</v>
      </c>
      <c r="N19" s="738">
        <v>906</v>
      </c>
      <c r="O19" s="738">
        <f t="shared" si="2"/>
        <v>26674.335586516008</v>
      </c>
      <c r="P19" s="738">
        <f t="shared" si="3"/>
        <v>11813.651586300042</v>
      </c>
      <c r="Q19" s="739">
        <v>979.77</v>
      </c>
      <c r="R19" s="738">
        <f t="shared" si="5"/>
        <v>7662.698234775813</v>
      </c>
    </row>
    <row r="20" spans="1:18" s="348" customFormat="1">
      <c r="A20" s="349">
        <v>4</v>
      </c>
      <c r="B20" s="738" t="s">
        <v>64</v>
      </c>
      <c r="C20" s="745" t="s">
        <v>107</v>
      </c>
      <c r="D20" s="744" t="s">
        <v>110</v>
      </c>
      <c r="E20" s="736">
        <v>8356.5492739838501</v>
      </c>
      <c r="F20" s="736">
        <v>7709.0572847944568</v>
      </c>
      <c r="G20" s="736">
        <v>6692.093350130719</v>
      </c>
      <c r="H20" s="736">
        <v>4806.6957016961787</v>
      </c>
      <c r="I20" s="736">
        <v>3181.6881408695344</v>
      </c>
      <c r="J20" s="736">
        <v>2689.2322526062794</v>
      </c>
      <c r="K20" s="737">
        <f t="shared" si="0"/>
        <v>33435.316004081018</v>
      </c>
      <c r="L20" s="738">
        <f t="shared" si="1"/>
        <v>10677.616095171992</v>
      </c>
      <c r="M20" s="738">
        <v>1605</v>
      </c>
      <c r="N20" s="738">
        <v>1648</v>
      </c>
      <c r="O20" s="738">
        <f t="shared" si="2"/>
        <v>47365.932099253012</v>
      </c>
      <c r="P20" s="738">
        <f t="shared" si="3"/>
        <v>20622.709445302709</v>
      </c>
      <c r="Q20" s="739">
        <v>2290.13</v>
      </c>
      <c r="R20" s="738">
        <f t="shared" si="5"/>
        <v>13930.616095171992</v>
      </c>
    </row>
    <row r="21" spans="1:18" s="348" customFormat="1">
      <c r="A21" s="349"/>
      <c r="B21" s="771"/>
      <c r="C21" s="772"/>
      <c r="D21" s="773" t="s">
        <v>98</v>
      </c>
      <c r="E21" s="744">
        <f t="shared" ref="E21:J21" si="6">SUM(E18:E20)</f>
        <v>18077.609169292278</v>
      </c>
      <c r="F21" s="744">
        <f t="shared" si="6"/>
        <v>18105.074903534001</v>
      </c>
      <c r="G21" s="744">
        <f t="shared" si="6"/>
        <v>15477.952468800957</v>
      </c>
      <c r="H21" s="744">
        <f t="shared" si="6"/>
        <v>10760.489399837072</v>
      </c>
      <c r="I21" s="744">
        <f t="shared" si="6"/>
        <v>6695.6577483369238</v>
      </c>
      <c r="J21" s="744">
        <f t="shared" si="6"/>
        <v>6149.2237077494465</v>
      </c>
      <c r="K21" s="744">
        <f t="shared" si="0"/>
        <v>75266.007397550668</v>
      </c>
      <c r="L21" s="744">
        <f>SUM(L18:L20)</f>
        <v>23605.370855923444</v>
      </c>
      <c r="M21" s="744">
        <f>SUM(M18:M20)</f>
        <v>3781</v>
      </c>
      <c r="N21" s="744">
        <f t="shared" ref="N21:O21" si="7">SUM(N18:N20)</f>
        <v>3474</v>
      </c>
      <c r="O21" s="744">
        <f t="shared" si="7"/>
        <v>106126.37825347412</v>
      </c>
      <c r="P21" s="744">
        <f>SUM(P18:P20)</f>
        <v>46338.323324724399</v>
      </c>
      <c r="Q21" s="744">
        <f>SUM(Q18:Q20)</f>
        <v>3945.84</v>
      </c>
      <c r="R21" s="744">
        <f>SUM(R18:R20)</f>
        <v>30860.370855923444</v>
      </c>
    </row>
    <row r="22" spans="1:18" s="348" customFormat="1">
      <c r="A22" s="349"/>
      <c r="B22" s="742"/>
      <c r="C22" s="748"/>
      <c r="D22" s="748"/>
      <c r="E22" s="744"/>
      <c r="F22" s="744"/>
      <c r="G22" s="744"/>
      <c r="H22" s="744"/>
      <c r="I22" s="744"/>
      <c r="J22" s="744"/>
      <c r="K22" s="737"/>
      <c r="L22" s="744"/>
      <c r="M22" s="744"/>
      <c r="N22" s="744"/>
      <c r="O22" s="744"/>
      <c r="P22" s="744"/>
      <c r="Q22" s="744"/>
      <c r="R22" s="738"/>
    </row>
    <row r="23" spans="1:18" s="775" customFormat="1">
      <c r="A23" s="774">
        <v>5</v>
      </c>
      <c r="B23" s="734" t="s">
        <v>65</v>
      </c>
      <c r="C23" s="735" t="s">
        <v>111</v>
      </c>
      <c r="D23" s="740" t="s">
        <v>111</v>
      </c>
      <c r="E23" s="759">
        <v>26080.555765763056</v>
      </c>
      <c r="F23" s="759">
        <v>26813.120163198975</v>
      </c>
      <c r="G23" s="759">
        <v>21530.769264768551</v>
      </c>
      <c r="H23" s="759">
        <v>13908.414288727923</v>
      </c>
      <c r="I23" s="759">
        <v>8914.0480805427451</v>
      </c>
      <c r="J23" s="759">
        <v>9417.7363920517491</v>
      </c>
      <c r="K23" s="741">
        <f t="shared" si="0"/>
        <v>106664.643955053</v>
      </c>
      <c r="L23" s="734">
        <f>SUM(H23:J23)</f>
        <v>32240.198761322416</v>
      </c>
      <c r="M23" s="734">
        <v>3228</v>
      </c>
      <c r="N23" s="734">
        <v>6036</v>
      </c>
      <c r="O23" s="734">
        <f t="shared" si="2"/>
        <v>148168.84271637542</v>
      </c>
      <c r="P23" s="734">
        <f t="shared" si="3"/>
        <v>63034.968026090966</v>
      </c>
      <c r="Q23" s="760">
        <v>4553.12</v>
      </c>
      <c r="R23" s="734">
        <f>SUM(L23:N23)</f>
        <v>41504.198761322419</v>
      </c>
    </row>
    <row r="24" spans="1:18" s="348" customFormat="1">
      <c r="A24" s="349"/>
      <c r="B24" s="738"/>
      <c r="C24" s="745"/>
      <c r="D24" s="744"/>
      <c r="E24" s="736"/>
      <c r="F24" s="736"/>
      <c r="G24" s="736"/>
      <c r="H24" s="736"/>
      <c r="I24" s="736"/>
      <c r="J24" s="736"/>
      <c r="K24" s="737"/>
      <c r="L24" s="738"/>
      <c r="M24" s="738"/>
      <c r="N24" s="738"/>
      <c r="O24" s="738"/>
      <c r="P24" s="738"/>
      <c r="Q24" s="739"/>
      <c r="R24" s="738"/>
    </row>
    <row r="25" spans="1:18" s="348" customFormat="1">
      <c r="A25" s="349">
        <v>6</v>
      </c>
      <c r="B25" s="738" t="s">
        <v>66</v>
      </c>
      <c r="C25" s="745" t="s">
        <v>112</v>
      </c>
      <c r="D25" s="744" t="s">
        <v>113</v>
      </c>
      <c r="E25" s="736">
        <v>8960.3767588823212</v>
      </c>
      <c r="F25" s="736">
        <v>9331.2725299225276</v>
      </c>
      <c r="G25" s="736">
        <v>8092.6742957485712</v>
      </c>
      <c r="H25" s="736">
        <v>6043.9698516325443</v>
      </c>
      <c r="I25" s="736">
        <v>4014.5441015233218</v>
      </c>
      <c r="J25" s="736">
        <v>3936.3035868458819</v>
      </c>
      <c r="K25" s="737">
        <f t="shared" si="0"/>
        <v>40379.141124555172</v>
      </c>
      <c r="L25" s="738">
        <f t="shared" si="1"/>
        <v>13994.81754000175</v>
      </c>
      <c r="M25" s="738">
        <v>1967</v>
      </c>
      <c r="N25" s="738">
        <v>2113</v>
      </c>
      <c r="O25" s="738">
        <f t="shared" si="2"/>
        <v>58453.958664556922</v>
      </c>
      <c r="P25" s="738">
        <f t="shared" si="3"/>
        <v>26167.491835750319</v>
      </c>
      <c r="Q25" s="739">
        <v>5036.08</v>
      </c>
      <c r="R25" s="738">
        <f>SUM(L25:N25)</f>
        <v>18074.81754000175</v>
      </c>
    </row>
    <row r="26" spans="1:18" s="348" customFormat="1">
      <c r="A26" s="349"/>
      <c r="B26" s="738"/>
      <c r="C26" s="745"/>
      <c r="D26" s="744"/>
      <c r="E26" s="746"/>
      <c r="F26" s="746"/>
      <c r="G26" s="746"/>
      <c r="H26" s="746"/>
      <c r="I26" s="746"/>
      <c r="J26" s="746"/>
      <c r="K26" s="737"/>
      <c r="L26" s="738"/>
      <c r="M26" s="738"/>
      <c r="N26" s="738"/>
      <c r="O26" s="738"/>
      <c r="P26" s="738"/>
      <c r="Q26" s="739"/>
      <c r="R26" s="738"/>
    </row>
    <row r="27" spans="1:18" s="348" customFormat="1">
      <c r="A27" s="733">
        <v>7</v>
      </c>
      <c r="B27" s="734" t="s">
        <v>67</v>
      </c>
      <c r="C27" s="735" t="s">
        <v>114</v>
      </c>
      <c r="D27" s="740" t="s">
        <v>114</v>
      </c>
      <c r="E27" s="736">
        <v>5114.8598104932898</v>
      </c>
      <c r="F27" s="736">
        <v>5371.3911091219452</v>
      </c>
      <c r="G27" s="736">
        <v>4557.0612025032115</v>
      </c>
      <c r="H27" s="736">
        <v>3363.9994621039914</v>
      </c>
      <c r="I27" s="736">
        <v>2175.8107179856215</v>
      </c>
      <c r="J27" s="736">
        <v>1858.4201415919458</v>
      </c>
      <c r="K27" s="737">
        <f>SUM(E27:J27)</f>
        <v>22441.542443800005</v>
      </c>
      <c r="L27" s="738">
        <f t="shared" si="1"/>
        <v>7398.230321681559</v>
      </c>
      <c r="M27" s="738">
        <v>1384</v>
      </c>
      <c r="N27" s="738">
        <v>1626</v>
      </c>
      <c r="O27" s="738">
        <f t="shared" si="2"/>
        <v>32849.772765481568</v>
      </c>
      <c r="P27" s="738">
        <f t="shared" si="3"/>
        <v>14965.29152418477</v>
      </c>
      <c r="Q27" s="739">
        <v>1596.17</v>
      </c>
      <c r="R27" s="738">
        <f>SUM(L27:N27)</f>
        <v>10408.23032168156</v>
      </c>
    </row>
    <row r="28" spans="1:18" s="348" customFormat="1">
      <c r="A28" s="733">
        <v>7</v>
      </c>
      <c r="B28" s="734" t="s">
        <v>67</v>
      </c>
      <c r="C28" s="735" t="s">
        <v>114</v>
      </c>
      <c r="D28" s="740" t="s">
        <v>115</v>
      </c>
      <c r="E28" s="736">
        <v>2358.3142561362342</v>
      </c>
      <c r="F28" s="736">
        <v>2667.8772355313713</v>
      </c>
      <c r="G28" s="736">
        <v>2192.5426838380458</v>
      </c>
      <c r="H28" s="736">
        <v>1503.978068425622</v>
      </c>
      <c r="I28" s="736">
        <v>914.17564975109474</v>
      </c>
      <c r="J28" s="736">
        <v>793.57640164444626</v>
      </c>
      <c r="K28" s="737">
        <f>SUM(E28:J28)</f>
        <v>10430.464295326814</v>
      </c>
      <c r="L28" s="738">
        <f t="shared" si="1"/>
        <v>3211.730119821163</v>
      </c>
      <c r="M28" s="738">
        <v>607</v>
      </c>
      <c r="N28" s="738">
        <v>651</v>
      </c>
      <c r="O28" s="738">
        <f t="shared" si="2"/>
        <v>14900.194415147977</v>
      </c>
      <c r="P28" s="738">
        <f t="shared" si="3"/>
        <v>6662.2728036592089</v>
      </c>
      <c r="Q28" s="739">
        <v>1627.46</v>
      </c>
      <c r="R28" s="738">
        <f>SUM(L28:N28)</f>
        <v>4469.7301198211626</v>
      </c>
    </row>
    <row r="29" spans="1:18" s="348" customFormat="1">
      <c r="A29" s="733"/>
      <c r="B29" s="761"/>
      <c r="C29" s="762"/>
      <c r="D29" s="763" t="s">
        <v>98</v>
      </c>
      <c r="E29" s="740">
        <f>SUM(E27:E28)</f>
        <v>7473.1740666295245</v>
      </c>
      <c r="F29" s="740">
        <f t="shared" ref="F29:Q29" si="8">SUM(F27:F28)</f>
        <v>8039.2683446533165</v>
      </c>
      <c r="G29" s="740">
        <f t="shared" si="8"/>
        <v>6749.6038863412577</v>
      </c>
      <c r="H29" s="740">
        <f t="shared" si="8"/>
        <v>4867.9775305296134</v>
      </c>
      <c r="I29" s="740">
        <f t="shared" si="8"/>
        <v>3089.9863677367161</v>
      </c>
      <c r="J29" s="740">
        <f t="shared" si="8"/>
        <v>2651.996543236392</v>
      </c>
      <c r="K29" s="740">
        <f>SUM(E29:J29)</f>
        <v>32872.006739126824</v>
      </c>
      <c r="L29" s="740">
        <f t="shared" si="8"/>
        <v>10609.960441502722</v>
      </c>
      <c r="M29" s="740">
        <f>SUM(M27:M28)</f>
        <v>1991</v>
      </c>
      <c r="N29" s="740">
        <f t="shared" si="8"/>
        <v>2277</v>
      </c>
      <c r="O29" s="740">
        <f t="shared" si="8"/>
        <v>47749.967180629545</v>
      </c>
      <c r="P29" s="740">
        <f t="shared" si="8"/>
        <v>21627.564327843978</v>
      </c>
      <c r="Q29" s="740">
        <f t="shared" si="8"/>
        <v>3223.63</v>
      </c>
      <c r="R29" s="740">
        <f>SUM(R27:R28)</f>
        <v>14877.960441502722</v>
      </c>
    </row>
    <row r="30" spans="1:18" s="348" customFormat="1">
      <c r="A30" s="349"/>
      <c r="B30" s="738"/>
      <c r="C30" s="745"/>
      <c r="D30" s="744"/>
      <c r="E30" s="744"/>
      <c r="F30" s="744"/>
      <c r="G30" s="744"/>
      <c r="H30" s="744"/>
      <c r="I30" s="744"/>
      <c r="J30" s="744"/>
      <c r="K30" s="737"/>
      <c r="L30" s="744"/>
      <c r="M30" s="744"/>
      <c r="N30" s="744"/>
      <c r="O30" s="744"/>
      <c r="P30" s="744"/>
      <c r="Q30" s="744"/>
      <c r="R30" s="738"/>
    </row>
    <row r="31" spans="1:18">
      <c r="A31" s="35">
        <v>8</v>
      </c>
      <c r="B31" s="738" t="s">
        <v>68</v>
      </c>
      <c r="C31" s="745" t="s">
        <v>116</v>
      </c>
      <c r="D31" s="744" t="s">
        <v>117</v>
      </c>
      <c r="E31" s="736">
        <v>15851.582033022947</v>
      </c>
      <c r="F31" s="736">
        <v>16051.760375350161</v>
      </c>
      <c r="G31" s="736">
        <v>13162.018243849085</v>
      </c>
      <c r="H31" s="736">
        <v>9707.6805390110567</v>
      </c>
      <c r="I31" s="736">
        <v>6832.058968224108</v>
      </c>
      <c r="J31" s="736">
        <v>6878.7156944546432</v>
      </c>
      <c r="K31" s="737">
        <f t="shared" si="0"/>
        <v>68483.815853912005</v>
      </c>
      <c r="L31" s="738">
        <f t="shared" si="1"/>
        <v>23418.455201689809</v>
      </c>
      <c r="M31" s="738">
        <v>3716</v>
      </c>
      <c r="N31" s="738">
        <v>3899</v>
      </c>
      <c r="O31" s="738">
        <f t="shared" si="2"/>
        <v>99517.271055601814</v>
      </c>
      <c r="P31" s="738">
        <f t="shared" si="3"/>
        <v>44195.47344553889</v>
      </c>
      <c r="Q31" s="739">
        <v>2783.55</v>
      </c>
      <c r="R31" s="738">
        <f>SUM(L31:N31)</f>
        <v>31033.455201689809</v>
      </c>
    </row>
    <row r="32" spans="1:18">
      <c r="A32" s="35">
        <v>8</v>
      </c>
      <c r="B32" s="738" t="s">
        <v>68</v>
      </c>
      <c r="C32" s="745" t="s">
        <v>116</v>
      </c>
      <c r="D32" s="744" t="s">
        <v>118</v>
      </c>
      <c r="E32" s="736">
        <v>7141.1371362057853</v>
      </c>
      <c r="F32" s="736">
        <v>7299.2244577679685</v>
      </c>
      <c r="G32" s="736">
        <v>6356.1484760383755</v>
      </c>
      <c r="H32" s="736">
        <v>4697.9650903543643</v>
      </c>
      <c r="I32" s="736">
        <v>3103.0490093624576</v>
      </c>
      <c r="J32" s="736">
        <v>3117.5464795510384</v>
      </c>
      <c r="K32" s="737">
        <f t="shared" si="0"/>
        <v>31715.070649279987</v>
      </c>
      <c r="L32" s="738">
        <f t="shared" si="1"/>
        <v>10918.56057926786</v>
      </c>
      <c r="M32" s="738">
        <v>1622</v>
      </c>
      <c r="N32" s="738">
        <v>2126</v>
      </c>
      <c r="O32" s="738">
        <f t="shared" si="2"/>
        <v>46381.631228547849</v>
      </c>
      <c r="P32" s="738">
        <f t="shared" si="3"/>
        <v>21022.709055306237</v>
      </c>
      <c r="Q32" s="739">
        <v>1639.67</v>
      </c>
      <c r="R32" s="738">
        <f>SUM(L32:N32)</f>
        <v>14666.56057926786</v>
      </c>
    </row>
    <row r="33" spans="1:28" s="766" customFormat="1">
      <c r="A33" s="764"/>
      <c r="B33" s="771"/>
      <c r="C33" s="772"/>
      <c r="D33" s="773" t="s">
        <v>98</v>
      </c>
      <c r="E33" s="765">
        <f t="shared" ref="E33:J33" si="9">SUM(E31:E32)</f>
        <v>22992.719169228731</v>
      </c>
      <c r="F33" s="765">
        <f t="shared" si="9"/>
        <v>23350.984833118127</v>
      </c>
      <c r="G33" s="765">
        <f t="shared" si="9"/>
        <v>19518.16671988746</v>
      </c>
      <c r="H33" s="765">
        <f t="shared" si="9"/>
        <v>14405.645629365421</v>
      </c>
      <c r="I33" s="765">
        <f t="shared" si="9"/>
        <v>9935.1079775865655</v>
      </c>
      <c r="J33" s="765">
        <f t="shared" si="9"/>
        <v>9996.262174005682</v>
      </c>
      <c r="K33" s="765">
        <f>SUM(E33:J33)</f>
        <v>100198.88650319198</v>
      </c>
      <c r="L33" s="765">
        <f t="shared" ref="L33:Q33" si="10">SUM(L31:L32)</f>
        <v>34337.01578095767</v>
      </c>
      <c r="M33" s="765">
        <f t="shared" si="10"/>
        <v>5338</v>
      </c>
      <c r="N33" s="765">
        <f t="shared" si="10"/>
        <v>6025</v>
      </c>
      <c r="O33" s="765">
        <f t="shared" si="10"/>
        <v>145898.90228414966</v>
      </c>
      <c r="P33" s="765">
        <f t="shared" si="10"/>
        <v>65218.182500845127</v>
      </c>
      <c r="Q33" s="765">
        <f t="shared" si="10"/>
        <v>4423.22</v>
      </c>
      <c r="R33" s="765">
        <f>SUM(R31:R32)</f>
        <v>45700.01578095767</v>
      </c>
    </row>
    <row r="34" spans="1:28" s="348" customFormat="1">
      <c r="A34" s="349"/>
      <c r="B34" s="742"/>
      <c r="C34" s="748"/>
      <c r="D34" s="748"/>
      <c r="E34" s="744"/>
      <c r="F34" s="744"/>
      <c r="G34" s="744"/>
      <c r="H34" s="744"/>
      <c r="I34" s="744"/>
      <c r="J34" s="744"/>
      <c r="K34" s="737"/>
      <c r="L34" s="744"/>
      <c r="M34" s="744"/>
      <c r="N34" s="744"/>
      <c r="O34" s="744"/>
      <c r="P34" s="744"/>
      <c r="Q34" s="744"/>
      <c r="R34" s="738"/>
    </row>
    <row r="35" spans="1:28">
      <c r="A35" s="35">
        <v>10</v>
      </c>
      <c r="B35" s="262" t="s">
        <v>541</v>
      </c>
      <c r="C35" s="262" t="s">
        <v>125</v>
      </c>
      <c r="D35" s="262" t="s">
        <v>126</v>
      </c>
      <c r="E35" s="346">
        <v>1977.9329148609888</v>
      </c>
      <c r="F35" s="346">
        <v>2204.8834458461552</v>
      </c>
      <c r="G35" s="346">
        <v>1806.5145243211346</v>
      </c>
      <c r="H35" s="346">
        <v>1296.9893980994414</v>
      </c>
      <c r="I35" s="346">
        <v>794.030836185765</v>
      </c>
      <c r="J35" s="346">
        <v>692.82558712516573</v>
      </c>
      <c r="K35" s="708">
        <f t="shared" si="0"/>
        <v>8773.1767064386495</v>
      </c>
      <c r="L35" s="256">
        <f t="shared" si="1"/>
        <v>2783.8458214103721</v>
      </c>
      <c r="M35" s="256">
        <v>337</v>
      </c>
      <c r="N35" s="256">
        <v>241</v>
      </c>
      <c r="O35" s="256">
        <f t="shared" si="2"/>
        <v>12135.022527849022</v>
      </c>
      <c r="P35" s="256">
        <f t="shared" si="3"/>
        <v>5168.3603457315066</v>
      </c>
      <c r="Q35" s="484">
        <v>2979.09</v>
      </c>
      <c r="R35" s="485">
        <f>SUM(L35:N35)</f>
        <v>3361.8458214103721</v>
      </c>
    </row>
    <row r="36" spans="1:28">
      <c r="A36" s="35">
        <v>10</v>
      </c>
      <c r="B36" s="262" t="s">
        <v>541</v>
      </c>
      <c r="C36" s="262" t="s">
        <v>125</v>
      </c>
      <c r="D36" s="262" t="s">
        <v>127</v>
      </c>
      <c r="E36" s="346">
        <v>13040.675051861443</v>
      </c>
      <c r="F36" s="346">
        <v>13096.340840324239</v>
      </c>
      <c r="G36" s="346">
        <v>10097.603712970735</v>
      </c>
      <c r="H36" s="346">
        <v>6856.9369057293006</v>
      </c>
      <c r="I36" s="346">
        <v>4360.0796855069675</v>
      </c>
      <c r="J36" s="346">
        <v>4277.7493526581002</v>
      </c>
      <c r="K36" s="708">
        <f t="shared" si="0"/>
        <v>51729.385549050792</v>
      </c>
      <c r="L36" s="256">
        <f t="shared" si="1"/>
        <v>15494.765943894368</v>
      </c>
      <c r="M36" s="256">
        <v>1913</v>
      </c>
      <c r="N36" s="256">
        <v>2450</v>
      </c>
      <c r="O36" s="256">
        <f t="shared" si="2"/>
        <v>71587.151492945166</v>
      </c>
      <c r="P36" s="256">
        <f t="shared" si="3"/>
        <v>29955.369656865099</v>
      </c>
      <c r="Q36" s="484">
        <v>3018.19</v>
      </c>
      <c r="R36" s="485">
        <f>SUM(L36:N36)</f>
        <v>19857.765943894367</v>
      </c>
    </row>
    <row r="37" spans="1:28">
      <c r="A37" s="35">
        <v>10</v>
      </c>
      <c r="B37" s="262" t="s">
        <v>541</v>
      </c>
      <c r="C37" s="262" t="s">
        <v>125</v>
      </c>
      <c r="D37" s="262" t="s">
        <v>128</v>
      </c>
      <c r="E37" s="346">
        <v>1812.2203444850229</v>
      </c>
      <c r="F37" s="346">
        <v>1705.1211278920755</v>
      </c>
      <c r="G37" s="346">
        <v>1368.350460023401</v>
      </c>
      <c r="H37" s="346">
        <v>875.53643514445821</v>
      </c>
      <c r="I37" s="346">
        <v>574.13784440539234</v>
      </c>
      <c r="J37" s="346">
        <v>390.39716827874707</v>
      </c>
      <c r="K37" s="708">
        <f t="shared" si="0"/>
        <v>6725.7633802290975</v>
      </c>
      <c r="L37" s="256">
        <f t="shared" si="1"/>
        <v>1840.0714478285977</v>
      </c>
      <c r="M37" s="256">
        <v>696</v>
      </c>
      <c r="N37" s="256">
        <v>297</v>
      </c>
      <c r="O37" s="256">
        <f t="shared" si="2"/>
        <v>9558.8348280576956</v>
      </c>
      <c r="P37" s="256">
        <f t="shared" si="3"/>
        <v>4201.4219078519982</v>
      </c>
      <c r="Q37" s="484">
        <v>1780.79</v>
      </c>
      <c r="R37" s="485">
        <f>SUM(L37:N37)</f>
        <v>2833.0714478285977</v>
      </c>
    </row>
    <row r="38" spans="1:28">
      <c r="A38" s="35"/>
      <c r="B38" s="696"/>
      <c r="C38" s="709"/>
      <c r="D38" s="697" t="s">
        <v>98</v>
      </c>
      <c r="E38" s="261">
        <f>SUM(E35:E37)</f>
        <v>16830.828311207453</v>
      </c>
      <c r="F38" s="261">
        <f t="shared" ref="F38:Q38" si="11">SUM(F35:F37)</f>
        <v>17006.345414062471</v>
      </c>
      <c r="G38" s="261">
        <f t="shared" si="11"/>
        <v>13272.468697315271</v>
      </c>
      <c r="H38" s="261">
        <f t="shared" si="11"/>
        <v>9029.4627389731995</v>
      </c>
      <c r="I38" s="261">
        <f t="shared" si="11"/>
        <v>5728.2483660981252</v>
      </c>
      <c r="J38" s="261">
        <f t="shared" si="11"/>
        <v>5360.9721080620129</v>
      </c>
      <c r="K38" s="261">
        <f t="shared" si="0"/>
        <v>67228.325635718531</v>
      </c>
      <c r="L38" s="261">
        <f t="shared" si="11"/>
        <v>20118.683213133339</v>
      </c>
      <c r="M38" s="261">
        <f t="shared" si="11"/>
        <v>2946</v>
      </c>
      <c r="N38" s="261">
        <f t="shared" si="11"/>
        <v>2988</v>
      </c>
      <c r="O38" s="261">
        <f t="shared" si="11"/>
        <v>93281.008848851881</v>
      </c>
      <c r="P38" s="261">
        <f t="shared" si="11"/>
        <v>39325.1519104486</v>
      </c>
      <c r="Q38" s="261">
        <f t="shared" si="11"/>
        <v>7778.0700000000006</v>
      </c>
      <c r="R38" s="261">
        <f>SUM(R35:R37)</f>
        <v>26052.683213133339</v>
      </c>
    </row>
    <row r="39" spans="1:28">
      <c r="A39" s="35"/>
      <c r="B39" s="345"/>
      <c r="C39" s="710"/>
      <c r="D39" s="711"/>
      <c r="E39" s="265"/>
      <c r="F39" s="265"/>
      <c r="G39" s="265"/>
      <c r="H39" s="265"/>
      <c r="I39" s="265"/>
      <c r="J39" s="307"/>
      <c r="K39" s="708"/>
      <c r="L39" s="265"/>
      <c r="M39" s="265"/>
      <c r="N39" s="265"/>
      <c r="O39" s="265"/>
      <c r="P39" s="265"/>
      <c r="Q39" s="265"/>
      <c r="R39" s="265"/>
    </row>
    <row r="40" spans="1:28">
      <c r="A40" s="253">
        <v>11</v>
      </c>
      <c r="B40" s="265" t="s">
        <v>71</v>
      </c>
      <c r="C40" s="265" t="s">
        <v>129</v>
      </c>
      <c r="D40" s="265" t="s">
        <v>130</v>
      </c>
      <c r="E40" s="346">
        <v>4999.2440548277918</v>
      </c>
      <c r="F40" s="346">
        <v>5151.8941647118845</v>
      </c>
      <c r="G40" s="346">
        <v>4267.3691570816245</v>
      </c>
      <c r="H40" s="346">
        <v>3054.8092346701446</v>
      </c>
      <c r="I40" s="346">
        <v>1906.965299825358</v>
      </c>
      <c r="J40" s="346">
        <v>1592.8880873098119</v>
      </c>
      <c r="K40" s="708">
        <f t="shared" si="0"/>
        <v>20973.169998426616</v>
      </c>
      <c r="L40" s="256">
        <f t="shared" si="1"/>
        <v>6554.6626218053152</v>
      </c>
      <c r="M40" s="256">
        <v>1542</v>
      </c>
      <c r="N40" s="256">
        <v>1368</v>
      </c>
      <c r="O40" s="256">
        <f t="shared" si="2"/>
        <v>30437.832620231929</v>
      </c>
      <c r="P40" s="256">
        <f t="shared" si="3"/>
        <v>13732.03177888694</v>
      </c>
      <c r="Q40" s="484">
        <v>5941.05</v>
      </c>
      <c r="R40" s="485">
        <f>SUM(L40:N40)</f>
        <v>9464.6626218053152</v>
      </c>
    </row>
    <row r="41" spans="1:28">
      <c r="A41" s="253">
        <v>11</v>
      </c>
      <c r="B41" s="265" t="s">
        <v>71</v>
      </c>
      <c r="C41" s="265" t="s">
        <v>129</v>
      </c>
      <c r="D41" s="265" t="s">
        <v>131</v>
      </c>
      <c r="E41" s="346">
        <v>703.81357981901579</v>
      </c>
      <c r="F41" s="346">
        <v>732.60083877664647</v>
      </c>
      <c r="G41" s="346">
        <v>564.0081162903889</v>
      </c>
      <c r="H41" s="346">
        <v>427.47855777989139</v>
      </c>
      <c r="I41" s="346">
        <v>250.70943502404845</v>
      </c>
      <c r="J41" s="346">
        <v>200.01691641974418</v>
      </c>
      <c r="K41" s="708">
        <f>SUM(E41:J41)</f>
        <v>2878.6274441097353</v>
      </c>
      <c r="L41" s="256">
        <f t="shared" si="1"/>
        <v>878.2049092236839</v>
      </c>
      <c r="M41" s="256">
        <v>142</v>
      </c>
      <c r="N41" s="256">
        <v>254</v>
      </c>
      <c r="O41" s="256">
        <f t="shared" si="2"/>
        <v>4152.8323533334187</v>
      </c>
      <c r="P41" s="256">
        <f t="shared" si="3"/>
        <v>1838.2130255140728</v>
      </c>
      <c r="Q41" s="484">
        <v>8138.98</v>
      </c>
      <c r="R41" s="485">
        <f>SUM(L41:N41)</f>
        <v>1274.2049092236839</v>
      </c>
      <c r="AB41" s="36">
        <v>0.3</v>
      </c>
    </row>
    <row r="42" spans="1:28" s="770" customFormat="1">
      <c r="A42" s="767"/>
      <c r="B42" s="771"/>
      <c r="C42" s="772"/>
      <c r="D42" s="773" t="s">
        <v>98</v>
      </c>
      <c r="E42" s="768">
        <f>SUM(E40:E41)</f>
        <v>5703.0576346468079</v>
      </c>
      <c r="F42" s="768">
        <f t="shared" ref="F42:Q42" si="12">SUM(F40:F41)</f>
        <v>5884.4950034885314</v>
      </c>
      <c r="G42" s="768">
        <f t="shared" si="12"/>
        <v>4831.3772733720134</v>
      </c>
      <c r="H42" s="768">
        <f t="shared" si="12"/>
        <v>3482.2877924500362</v>
      </c>
      <c r="I42" s="768">
        <f t="shared" si="12"/>
        <v>2157.6747348494064</v>
      </c>
      <c r="J42" s="769">
        <f t="shared" si="12"/>
        <v>1792.905003729556</v>
      </c>
      <c r="K42" s="769">
        <f t="shared" si="0"/>
        <v>23851.79744253635</v>
      </c>
      <c r="L42" s="769">
        <f t="shared" si="12"/>
        <v>7432.8675310289991</v>
      </c>
      <c r="M42" s="769">
        <f t="shared" si="12"/>
        <v>1684</v>
      </c>
      <c r="N42" s="769">
        <f t="shared" si="12"/>
        <v>1622</v>
      </c>
      <c r="O42" s="769">
        <f t="shared" si="12"/>
        <v>34590.664973565348</v>
      </c>
      <c r="P42" s="769">
        <f t="shared" si="12"/>
        <v>15570.244804401013</v>
      </c>
      <c r="Q42" s="769">
        <f t="shared" si="12"/>
        <v>14080.029999999999</v>
      </c>
      <c r="R42" s="769">
        <f>SUM(R40:R41)</f>
        <v>10738.867531028998</v>
      </c>
    </row>
    <row r="43" spans="1:28">
      <c r="A43" s="35"/>
      <c r="B43" s="265"/>
      <c r="C43" s="266"/>
      <c r="D43" s="267"/>
      <c r="E43" s="267"/>
      <c r="F43" s="267"/>
      <c r="G43" s="267"/>
      <c r="H43" s="267"/>
      <c r="I43" s="267"/>
      <c r="J43" s="350"/>
      <c r="K43" s="708"/>
      <c r="L43" s="267"/>
      <c r="M43" s="267"/>
      <c r="N43" s="267"/>
      <c r="O43" s="267"/>
      <c r="P43" s="267"/>
      <c r="Q43" s="267"/>
      <c r="R43" s="265"/>
    </row>
    <row r="44" spans="1:28">
      <c r="A44" s="35">
        <v>12</v>
      </c>
      <c r="B44" s="259" t="s">
        <v>72</v>
      </c>
      <c r="C44" s="260" t="s">
        <v>132</v>
      </c>
      <c r="D44" s="261" t="s">
        <v>133</v>
      </c>
      <c r="E44" s="346">
        <v>900.67076872419409</v>
      </c>
      <c r="F44" s="346">
        <v>800.43109384399509</v>
      </c>
      <c r="G44" s="346">
        <v>614.39084839019642</v>
      </c>
      <c r="H44" s="346">
        <v>402.26262238754362</v>
      </c>
      <c r="I44" s="346">
        <v>243.90046184529996</v>
      </c>
      <c r="J44" s="346">
        <v>204.10940832004854</v>
      </c>
      <c r="K44" s="708">
        <f>SUM(E44:J44)</f>
        <v>3165.7652035112778</v>
      </c>
      <c r="L44" s="256">
        <f t="shared" si="1"/>
        <v>850.27249255289212</v>
      </c>
      <c r="M44" s="256">
        <v>326</v>
      </c>
      <c r="N44" s="256">
        <v>91</v>
      </c>
      <c r="O44" s="256">
        <f>SUM(K44:N44)</f>
        <v>4433.0376960641697</v>
      </c>
      <c r="P44" s="256">
        <f t="shared" si="3"/>
        <v>1881.6633409430885</v>
      </c>
      <c r="Q44" s="484">
        <v>2031.61</v>
      </c>
      <c r="R44" s="485">
        <f t="shared" ref="R44:R50" si="13">SUM(L44:N44)</f>
        <v>1267.2724925528921</v>
      </c>
    </row>
    <row r="45" spans="1:28">
      <c r="A45" s="35">
        <v>12</v>
      </c>
      <c r="B45" s="259" t="s">
        <v>72</v>
      </c>
      <c r="C45" s="260" t="s">
        <v>132</v>
      </c>
      <c r="D45" s="261" t="s">
        <v>134</v>
      </c>
      <c r="E45" s="346">
        <v>5027.2733349538375</v>
      </c>
      <c r="F45" s="346">
        <v>4544.9533114646456</v>
      </c>
      <c r="G45" s="346">
        <v>3376.7942073714967</v>
      </c>
      <c r="H45" s="346">
        <v>2272.9153945206008</v>
      </c>
      <c r="I45" s="346">
        <v>1504.466478549775</v>
      </c>
      <c r="J45" s="346">
        <v>1416.7474386731137</v>
      </c>
      <c r="K45" s="708">
        <f t="shared" si="0"/>
        <v>18143.150165533465</v>
      </c>
      <c r="L45" s="256">
        <f t="shared" si="1"/>
        <v>5194.1293117434898</v>
      </c>
      <c r="M45" s="256">
        <v>1623</v>
      </c>
      <c r="N45" s="256">
        <v>1202</v>
      </c>
      <c r="O45" s="256">
        <f t="shared" si="2"/>
        <v>26162.279477276956</v>
      </c>
      <c r="P45" s="256">
        <f t="shared" si="3"/>
        <v>11395.923519114986</v>
      </c>
      <c r="Q45" s="484">
        <v>3215.51</v>
      </c>
      <c r="R45" s="485">
        <f t="shared" si="13"/>
        <v>8019.1293117434898</v>
      </c>
    </row>
    <row r="46" spans="1:28">
      <c r="A46" s="253">
        <v>9</v>
      </c>
      <c r="B46" s="259" t="s">
        <v>72</v>
      </c>
      <c r="C46" s="263" t="s">
        <v>119</v>
      </c>
      <c r="D46" s="264" t="s">
        <v>120</v>
      </c>
      <c r="E46" s="346">
        <v>217.44804302751902</v>
      </c>
      <c r="F46" s="346">
        <v>206.31332495925864</v>
      </c>
      <c r="G46" s="346">
        <v>152.56783337307314</v>
      </c>
      <c r="H46" s="346">
        <v>101.92575989993452</v>
      </c>
      <c r="I46" s="346">
        <v>66.674037003946452</v>
      </c>
      <c r="J46" s="346">
        <v>81.606274351716479</v>
      </c>
      <c r="K46" s="708">
        <f t="shared" ref="K46:K51" si="14">SUM(E46:J46)</f>
        <v>826.53527261544821</v>
      </c>
      <c r="L46" s="256">
        <f>SUM(H46:J46)</f>
        <v>250.20607125559746</v>
      </c>
      <c r="M46" s="256">
        <v>34</v>
      </c>
      <c r="N46" s="256">
        <v>29</v>
      </c>
      <c r="O46" s="256">
        <f>SUM(K46:N46)</f>
        <v>1139.7413438710457</v>
      </c>
      <c r="P46" s="256">
        <f>SUM(G46:J46)+M46+N46</f>
        <v>465.77390462867061</v>
      </c>
      <c r="Q46" s="484">
        <v>1204.81</v>
      </c>
      <c r="R46" s="485">
        <f t="shared" si="13"/>
        <v>313.20607125559746</v>
      </c>
    </row>
    <row r="47" spans="1:28">
      <c r="A47" s="253">
        <v>9</v>
      </c>
      <c r="B47" s="259" t="s">
        <v>72</v>
      </c>
      <c r="C47" s="263" t="s">
        <v>119</v>
      </c>
      <c r="D47" s="264" t="s">
        <v>121</v>
      </c>
      <c r="E47" s="346">
        <v>1747.6983737430312</v>
      </c>
      <c r="F47" s="346">
        <v>1465.3140813572104</v>
      </c>
      <c r="G47" s="346">
        <v>996.06266209808746</v>
      </c>
      <c r="H47" s="346">
        <v>695.36592803564281</v>
      </c>
      <c r="I47" s="346">
        <v>430.06332335954073</v>
      </c>
      <c r="J47" s="346">
        <v>563.41462735475932</v>
      </c>
      <c r="K47" s="708">
        <f t="shared" si="14"/>
        <v>5897.9189959482728</v>
      </c>
      <c r="L47" s="256">
        <f>SUM(H47:J47)</f>
        <v>1688.8438787499431</v>
      </c>
      <c r="M47" s="256">
        <v>570</v>
      </c>
      <c r="N47" s="256">
        <v>163</v>
      </c>
      <c r="O47" s="256">
        <f>SUM(K47:N47)</f>
        <v>8319.7628746982155</v>
      </c>
      <c r="P47" s="256">
        <f>SUM(G47:J47)+M47+N47</f>
        <v>3417.9065408480305</v>
      </c>
      <c r="Q47" s="484">
        <v>521.95000000000005</v>
      </c>
      <c r="R47" s="485">
        <f t="shared" si="13"/>
        <v>2421.8438787499431</v>
      </c>
    </row>
    <row r="48" spans="1:28">
      <c r="A48" s="253">
        <v>9</v>
      </c>
      <c r="B48" s="259" t="s">
        <v>72</v>
      </c>
      <c r="C48" s="263" t="s">
        <v>119</v>
      </c>
      <c r="D48" s="264" t="s">
        <v>122</v>
      </c>
      <c r="E48" s="346">
        <v>168.42499025912539</v>
      </c>
      <c r="F48" s="346">
        <v>148.92935180539433</v>
      </c>
      <c r="G48" s="346">
        <v>136.25057233859508</v>
      </c>
      <c r="H48" s="346">
        <v>102.9141641011159</v>
      </c>
      <c r="I48" s="346">
        <v>55.535686907041423</v>
      </c>
      <c r="J48" s="346">
        <v>50.280864139209626</v>
      </c>
      <c r="K48" s="708">
        <f t="shared" si="14"/>
        <v>662.33562955048171</v>
      </c>
      <c r="L48" s="256">
        <f>SUM(H48:J48)</f>
        <v>208.73071514736696</v>
      </c>
      <c r="M48" s="256">
        <v>30</v>
      </c>
      <c r="N48" s="256">
        <v>17</v>
      </c>
      <c r="O48" s="256">
        <f>SUM(K48:N48)</f>
        <v>918.06634469784865</v>
      </c>
      <c r="P48" s="256">
        <f>SUM(G48:J48)+M48+N48</f>
        <v>391.98128748596196</v>
      </c>
      <c r="Q48" s="484">
        <v>823.69</v>
      </c>
      <c r="R48" s="485">
        <f t="shared" si="13"/>
        <v>255.73071514736696</v>
      </c>
    </row>
    <row r="49" spans="1:18">
      <c r="A49" s="253">
        <v>9</v>
      </c>
      <c r="B49" s="259" t="s">
        <v>72</v>
      </c>
      <c r="C49" s="263" t="s">
        <v>119</v>
      </c>
      <c r="D49" s="264" t="s">
        <v>123</v>
      </c>
      <c r="E49" s="346">
        <v>2045.5139594129405</v>
      </c>
      <c r="F49" s="346">
        <v>1946.2122571948435</v>
      </c>
      <c r="G49" s="346">
        <v>1618.5158460279997</v>
      </c>
      <c r="H49" s="346">
        <v>1078.1917671770793</v>
      </c>
      <c r="I49" s="346">
        <v>688.88813048994291</v>
      </c>
      <c r="J49" s="346">
        <v>814.80176332553935</v>
      </c>
      <c r="K49" s="708">
        <f t="shared" si="14"/>
        <v>8192.123723628345</v>
      </c>
      <c r="L49" s="256">
        <f>SUM(H49:J49)</f>
        <v>2581.8816609925616</v>
      </c>
      <c r="M49" s="256">
        <v>526</v>
      </c>
      <c r="N49" s="256">
        <v>297</v>
      </c>
      <c r="O49" s="256">
        <f>SUM(K49:N49)</f>
        <v>11597.005384620907</v>
      </c>
      <c r="P49" s="256">
        <f>SUM(G49:J49)+M49+N49</f>
        <v>5023.3975070205606</v>
      </c>
      <c r="Q49" s="484">
        <v>2381.52</v>
      </c>
      <c r="R49" s="485">
        <f t="shared" si="13"/>
        <v>3404.8816609925616</v>
      </c>
    </row>
    <row r="50" spans="1:18">
      <c r="A50" s="253">
        <v>9</v>
      </c>
      <c r="B50" s="259" t="s">
        <v>72</v>
      </c>
      <c r="C50" s="263" t="s">
        <v>119</v>
      </c>
      <c r="D50" s="264" t="s">
        <v>124</v>
      </c>
      <c r="E50" s="346">
        <v>123.06951567057271</v>
      </c>
      <c r="F50" s="346">
        <v>141.39034010263401</v>
      </c>
      <c r="G50" s="346">
        <v>110.6284515269147</v>
      </c>
      <c r="H50" s="346">
        <v>114.64554046621545</v>
      </c>
      <c r="I50" s="346">
        <v>66.72924216567111</v>
      </c>
      <c r="J50" s="346">
        <v>55.908982315245041</v>
      </c>
      <c r="K50" s="708">
        <f t="shared" si="14"/>
        <v>612.37207224725296</v>
      </c>
      <c r="L50" s="256">
        <f>SUM(H50:J50)</f>
        <v>237.2837649471316</v>
      </c>
      <c r="M50" s="256">
        <v>29</v>
      </c>
      <c r="N50" s="256">
        <v>71</v>
      </c>
      <c r="O50" s="256">
        <f>SUM(K50:N50)</f>
        <v>949.6558371943845</v>
      </c>
      <c r="P50" s="256">
        <f>SUM(G50:J50)+M50+N50</f>
        <v>447.91221647404632</v>
      </c>
      <c r="Q50" s="484">
        <v>1714.75</v>
      </c>
      <c r="R50" s="485">
        <f t="shared" si="13"/>
        <v>337.2837649471316</v>
      </c>
    </row>
    <row r="51" spans="1:18">
      <c r="A51" s="253"/>
      <c r="B51" s="696"/>
      <c r="C51" s="709"/>
      <c r="D51" s="697" t="s">
        <v>98</v>
      </c>
      <c r="E51" s="697"/>
      <c r="F51" s="697"/>
      <c r="G51" s="264">
        <f t="shared" ref="G51:J51" si="15">SUM(G44:G50)</f>
        <v>7005.2104211263631</v>
      </c>
      <c r="H51" s="264">
        <f t="shared" si="15"/>
        <v>4768.2211765881329</v>
      </c>
      <c r="I51" s="264">
        <f t="shared" si="15"/>
        <v>3056.2573603212177</v>
      </c>
      <c r="J51" s="264">
        <f t="shared" si="15"/>
        <v>3186.8693584796324</v>
      </c>
      <c r="K51" s="264">
        <f t="shared" si="14"/>
        <v>18016.558316515344</v>
      </c>
      <c r="L51" s="264">
        <f t="shared" ref="L51:R51" si="16">SUM(L44:L50)</f>
        <v>11011.347895388983</v>
      </c>
      <c r="M51" s="264">
        <f>SUM(M44:M50)</f>
        <v>3138</v>
      </c>
      <c r="N51" s="264">
        <f t="shared" si="16"/>
        <v>1870</v>
      </c>
      <c r="O51" s="264">
        <f t="shared" si="16"/>
        <v>53519.548958423526</v>
      </c>
      <c r="P51" s="264">
        <f t="shared" si="16"/>
        <v>23024.558316515348</v>
      </c>
      <c r="Q51" s="264">
        <f t="shared" si="16"/>
        <v>11893.84</v>
      </c>
      <c r="R51" s="264">
        <f t="shared" si="16"/>
        <v>16019.347895388983</v>
      </c>
    </row>
    <row r="52" spans="1:18">
      <c r="A52" s="35"/>
      <c r="B52" s="345"/>
      <c r="C52" s="710"/>
      <c r="D52" s="711"/>
      <c r="E52" s="267"/>
      <c r="F52" s="267"/>
      <c r="G52" s="267"/>
      <c r="H52" s="267"/>
      <c r="I52" s="267"/>
      <c r="J52" s="350"/>
      <c r="K52" s="708"/>
      <c r="L52" s="267"/>
      <c r="M52" s="267"/>
      <c r="N52" s="267"/>
      <c r="O52" s="267"/>
      <c r="P52" s="267"/>
      <c r="Q52" s="267"/>
      <c r="R52" s="265"/>
    </row>
    <row r="53" spans="1:18">
      <c r="A53" s="253">
        <v>13</v>
      </c>
      <c r="B53" s="256" t="s">
        <v>73</v>
      </c>
      <c r="C53" s="255" t="s">
        <v>135</v>
      </c>
      <c r="D53" s="254" t="s">
        <v>136</v>
      </c>
      <c r="E53" s="346">
        <v>1526.6766299172427</v>
      </c>
      <c r="F53" s="346">
        <v>1555.508110050017</v>
      </c>
      <c r="G53" s="346">
        <v>1270.8644495338986</v>
      </c>
      <c r="H53" s="346">
        <v>920.74702928861961</v>
      </c>
      <c r="I53" s="346">
        <v>591.45922320116301</v>
      </c>
      <c r="J53" s="346">
        <v>514.5471977631546</v>
      </c>
      <c r="K53" s="708">
        <f>SUM(E53:J53)</f>
        <v>6379.8026397540943</v>
      </c>
      <c r="L53" s="256">
        <f>SUM(H53:J53)</f>
        <v>2026.7534502529372</v>
      </c>
      <c r="M53" s="256">
        <v>223</v>
      </c>
      <c r="N53" s="256">
        <v>223</v>
      </c>
      <c r="O53" s="256">
        <f>SUM(K53:N53)</f>
        <v>8852.5560900070323</v>
      </c>
      <c r="P53" s="256">
        <f t="shared" si="3"/>
        <v>3743.617899786836</v>
      </c>
      <c r="Q53" s="484">
        <v>3068.36</v>
      </c>
      <c r="R53" s="485">
        <f>SUM(L53:N53)</f>
        <v>2472.753450252937</v>
      </c>
    </row>
    <row r="54" spans="1:18">
      <c r="A54" s="253">
        <v>13</v>
      </c>
      <c r="B54" s="256" t="s">
        <v>73</v>
      </c>
      <c r="C54" s="255" t="s">
        <v>137</v>
      </c>
      <c r="D54" s="254" t="s">
        <v>137</v>
      </c>
      <c r="E54" s="346">
        <v>730.1366125117695</v>
      </c>
      <c r="F54" s="346">
        <v>811.65671458198767</v>
      </c>
      <c r="G54" s="346">
        <v>658.5494976123216</v>
      </c>
      <c r="H54" s="346">
        <v>511.06209202186824</v>
      </c>
      <c r="I54" s="346">
        <v>322.90890954838426</v>
      </c>
      <c r="J54" s="346">
        <v>309.13092675630764</v>
      </c>
      <c r="K54" s="708">
        <f t="shared" si="0"/>
        <v>3343.4447530326388</v>
      </c>
      <c r="L54" s="256">
        <f t="shared" si="1"/>
        <v>1143.10192832656</v>
      </c>
      <c r="M54" s="256">
        <v>126</v>
      </c>
      <c r="N54" s="256">
        <v>325</v>
      </c>
      <c r="O54" s="256">
        <f t="shared" si="2"/>
        <v>4937.5466813591993</v>
      </c>
      <c r="P54" s="256">
        <f t="shared" si="3"/>
        <v>2252.6514259388814</v>
      </c>
      <c r="Q54" s="484">
        <v>4528.54</v>
      </c>
      <c r="R54" s="485">
        <f>SUM(L54:N54)</f>
        <v>1594.10192832656</v>
      </c>
    </row>
    <row r="55" spans="1:18">
      <c r="A55" s="253">
        <v>13</v>
      </c>
      <c r="B55" s="256" t="s">
        <v>73</v>
      </c>
      <c r="C55" s="255" t="s">
        <v>135</v>
      </c>
      <c r="D55" s="254" t="s">
        <v>138</v>
      </c>
      <c r="E55" s="346">
        <v>1896.6057126438404</v>
      </c>
      <c r="F55" s="346">
        <v>1971.4962605599167</v>
      </c>
      <c r="G55" s="346">
        <v>1532.9848089217037</v>
      </c>
      <c r="H55" s="346">
        <v>1040.3227298857553</v>
      </c>
      <c r="I55" s="346">
        <v>699.53070680755764</v>
      </c>
      <c r="J55" s="346">
        <v>793.48288263254722</v>
      </c>
      <c r="K55" s="708">
        <f t="shared" si="0"/>
        <v>7934.4231014513216</v>
      </c>
      <c r="L55" s="256">
        <f t="shared" si="1"/>
        <v>2533.3363193258601</v>
      </c>
      <c r="M55" s="256">
        <v>256</v>
      </c>
      <c r="N55" s="256">
        <v>301</v>
      </c>
      <c r="O55" s="256">
        <f t="shared" si="2"/>
        <v>11024.759420777182</v>
      </c>
      <c r="P55" s="256">
        <f t="shared" si="3"/>
        <v>4623.321128247564</v>
      </c>
      <c r="Q55" s="484">
        <v>2036.61</v>
      </c>
      <c r="R55" s="485">
        <f>SUM(L55:N55)</f>
        <v>3090.3363193258601</v>
      </c>
    </row>
    <row r="56" spans="1:18">
      <c r="A56" s="253">
        <v>13</v>
      </c>
      <c r="B56" s="776" t="s">
        <v>73</v>
      </c>
      <c r="C56" s="777" t="s">
        <v>135</v>
      </c>
      <c r="D56" s="778" t="s">
        <v>139</v>
      </c>
      <c r="E56" s="346">
        <v>664.57340214935562</v>
      </c>
      <c r="F56" s="346">
        <v>763.65573214052142</v>
      </c>
      <c r="G56" s="346">
        <v>577.56615910213304</v>
      </c>
      <c r="H56" s="346">
        <v>390.64358222474152</v>
      </c>
      <c r="I56" s="346">
        <v>271.37669984626575</v>
      </c>
      <c r="J56" s="346">
        <v>294.2658000903167</v>
      </c>
      <c r="K56" s="708">
        <f t="shared" si="0"/>
        <v>2962.0813755533341</v>
      </c>
      <c r="L56" s="256">
        <f t="shared" si="1"/>
        <v>956.28608216132398</v>
      </c>
      <c r="M56" s="256">
        <v>85</v>
      </c>
      <c r="N56" s="256">
        <v>169</v>
      </c>
      <c r="O56" s="256">
        <f t="shared" si="2"/>
        <v>4172.3674577146576</v>
      </c>
      <c r="P56" s="256">
        <f t="shared" si="3"/>
        <v>1787.852241263457</v>
      </c>
      <c r="Q56" s="484">
        <v>3146.19</v>
      </c>
      <c r="R56" s="485">
        <f>SUM(L56:N56)</f>
        <v>1210.286082161324</v>
      </c>
    </row>
    <row r="57" spans="1:18">
      <c r="A57" s="253"/>
      <c r="B57" s="782"/>
      <c r="C57" s="783"/>
      <c r="D57" s="784" t="s">
        <v>98</v>
      </c>
      <c r="E57" s="785">
        <f>SUM(E53:E56)</f>
        <v>4817.9923572222087</v>
      </c>
      <c r="F57" s="254">
        <f t="shared" ref="F57:Q57" si="17">SUM(F53:F56)</f>
        <v>5102.316817332443</v>
      </c>
      <c r="G57" s="254">
        <f t="shared" si="17"/>
        <v>4039.9649151700569</v>
      </c>
      <c r="H57" s="254">
        <f t="shared" si="17"/>
        <v>2862.7754334209849</v>
      </c>
      <c r="I57" s="254">
        <f t="shared" si="17"/>
        <v>1885.2755394033707</v>
      </c>
      <c r="J57" s="350">
        <f t="shared" si="17"/>
        <v>1911.426807242326</v>
      </c>
      <c r="K57" s="350">
        <f t="shared" si="0"/>
        <v>20619.751869791391</v>
      </c>
      <c r="L57" s="350">
        <f t="shared" si="17"/>
        <v>6659.4777800666816</v>
      </c>
      <c r="M57" s="350">
        <f t="shared" si="17"/>
        <v>690</v>
      </c>
      <c r="N57" s="350">
        <f t="shared" si="17"/>
        <v>1018</v>
      </c>
      <c r="O57" s="350">
        <f t="shared" si="17"/>
        <v>28987.229649858069</v>
      </c>
      <c r="P57" s="350">
        <f t="shared" si="17"/>
        <v>12407.442695236739</v>
      </c>
      <c r="Q57" s="350">
        <f t="shared" si="17"/>
        <v>12779.7</v>
      </c>
      <c r="R57" s="350">
        <f>SUM(R53:R56)</f>
        <v>8367.4777800666816</v>
      </c>
    </row>
    <row r="58" spans="1:18">
      <c r="A58" s="35"/>
      <c r="B58" s="779"/>
      <c r="C58" s="780"/>
      <c r="D58" s="781"/>
      <c r="E58" s="267"/>
      <c r="F58" s="267"/>
      <c r="G58" s="267"/>
      <c r="H58" s="267"/>
      <c r="I58" s="267"/>
      <c r="J58" s="350"/>
      <c r="K58" s="712"/>
      <c r="L58" s="267"/>
      <c r="M58" s="267"/>
      <c r="N58" s="267"/>
      <c r="O58" s="267"/>
      <c r="P58" s="267"/>
      <c r="Q58" s="267"/>
      <c r="R58" s="265"/>
    </row>
    <row r="59" spans="1:18">
      <c r="A59" s="35">
        <v>14</v>
      </c>
      <c r="B59" s="259" t="s">
        <v>74</v>
      </c>
      <c r="C59" s="260" t="s">
        <v>140</v>
      </c>
      <c r="D59" s="261" t="s">
        <v>141</v>
      </c>
      <c r="E59" s="786">
        <v>615.19876924259938</v>
      </c>
      <c r="F59" s="786">
        <v>633.49656228169397</v>
      </c>
      <c r="G59" s="786">
        <v>484.99364596356622</v>
      </c>
      <c r="H59" s="786">
        <v>360.54885603637854</v>
      </c>
      <c r="I59" s="786">
        <v>229.84997615667507</v>
      </c>
      <c r="J59" s="786">
        <v>214.66068111557496</v>
      </c>
      <c r="K59" s="787">
        <f t="shared" si="0"/>
        <v>2538.7484907964881</v>
      </c>
      <c r="L59" s="259">
        <f t="shared" si="1"/>
        <v>805.05951330862854</v>
      </c>
      <c r="M59" s="259">
        <v>154</v>
      </c>
      <c r="N59" s="259">
        <v>92</v>
      </c>
      <c r="O59" s="259">
        <f t="shared" si="2"/>
        <v>3589.8080041051167</v>
      </c>
      <c r="P59" s="259">
        <f t="shared" si="3"/>
        <v>1536.0531592721948</v>
      </c>
      <c r="Q59" s="788">
        <v>10133.17</v>
      </c>
      <c r="R59" s="789">
        <f>SUM(L59:N59)</f>
        <v>1051.0595133086285</v>
      </c>
    </row>
    <row r="60" spans="1:18">
      <c r="A60" s="35"/>
      <c r="B60" s="265"/>
      <c r="C60" s="266"/>
      <c r="D60" s="267"/>
      <c r="E60" s="715"/>
      <c r="F60" s="715"/>
      <c r="G60" s="715"/>
      <c r="H60" s="715"/>
      <c r="I60" s="715"/>
      <c r="J60" s="715"/>
      <c r="K60" s="713"/>
      <c r="L60" s="265"/>
      <c r="M60" s="265"/>
      <c r="N60" s="265"/>
      <c r="O60" s="265"/>
      <c r="P60" s="265"/>
      <c r="Q60" s="347"/>
      <c r="R60" s="265"/>
    </row>
    <row r="61" spans="1:18">
      <c r="A61" s="253">
        <v>14</v>
      </c>
      <c r="B61" s="256" t="s">
        <v>75</v>
      </c>
      <c r="C61" s="255" t="s">
        <v>142</v>
      </c>
      <c r="D61" s="254" t="s">
        <v>143</v>
      </c>
      <c r="E61" s="346">
        <v>1923.8629533764556</v>
      </c>
      <c r="F61" s="346">
        <v>1913.7225096721281</v>
      </c>
      <c r="G61" s="346">
        <v>1558.8195591926758</v>
      </c>
      <c r="H61" s="346">
        <v>1116.0090117021859</v>
      </c>
      <c r="I61" s="346">
        <v>690.54887665687784</v>
      </c>
      <c r="J61" s="346">
        <v>774.38072991797173</v>
      </c>
      <c r="K61" s="708">
        <f t="shared" si="0"/>
        <v>7977.3436405182947</v>
      </c>
      <c r="L61" s="256">
        <f t="shared" si="1"/>
        <v>2580.9386182770354</v>
      </c>
      <c r="M61" s="256">
        <v>965</v>
      </c>
      <c r="N61" s="256">
        <v>558</v>
      </c>
      <c r="O61" s="256">
        <f t="shared" si="2"/>
        <v>12081.282258795331</v>
      </c>
      <c r="P61" s="256">
        <f t="shared" si="3"/>
        <v>5662.758177469711</v>
      </c>
      <c r="Q61" s="484">
        <v>9887.5300000000007</v>
      </c>
      <c r="R61" s="485">
        <f>SUM(L61:N61)</f>
        <v>4103.9386182770359</v>
      </c>
    </row>
    <row r="62" spans="1:18">
      <c r="A62" s="35"/>
      <c r="B62" s="351"/>
      <c r="C62" s="348"/>
      <c r="D62" s="352"/>
      <c r="E62" s="353"/>
      <c r="F62" s="353"/>
      <c r="G62" s="353"/>
      <c r="H62" s="353"/>
      <c r="I62" s="353"/>
      <c r="J62" s="353"/>
      <c r="K62" s="714"/>
      <c r="L62" s="351"/>
      <c r="M62" s="351"/>
      <c r="N62" s="351"/>
      <c r="O62" s="351"/>
      <c r="P62" s="351"/>
      <c r="Q62" s="354"/>
      <c r="R62" s="351"/>
    </row>
    <row r="63" spans="1:18">
      <c r="D63" s="694" t="s">
        <v>182</v>
      </c>
      <c r="E63" s="34">
        <f>E8+E10+E12+E14+E16+E21+E23+E25+E29+E33+E51+E38+E42+E57+E59+E61</f>
        <v>272181.61462621036</v>
      </c>
      <c r="F63" s="34">
        <f>F8+F10+F12+F14+F16+F21+F23+F25+F29+F33+F51+F38+F42+F57+F59+F61</f>
        <v>256028.54844488218</v>
      </c>
      <c r="G63" s="34">
        <f>G8+G10+G12+G14+G16+G21+G23+G25+G29+G33+G51+G38+G42+G57+G59+G61</f>
        <v>210720.89365716337</v>
      </c>
      <c r="H63" s="34">
        <f>H8+H10+H12+H14+H16+H21+H23+H25+H29+H33+H51+H38+H42+H57+H59+H61</f>
        <v>141132.32364637664</v>
      </c>
      <c r="I63" s="34">
        <f t="shared" ref="I63:R63" si="18">I8+I10+I12+I14+I16+I21+I23+I25+I29+I33+I51+I38+I42+I57+I59+I61</f>
        <v>89280.198050190229</v>
      </c>
      <c r="J63" s="34">
        <f t="shared" si="18"/>
        <v>88853.701078606682</v>
      </c>
      <c r="K63" s="34">
        <f t="shared" si="18"/>
        <v>1058197.2795034295</v>
      </c>
      <c r="L63" s="34">
        <f t="shared" si="18"/>
        <v>319266.22277517349</v>
      </c>
      <c r="M63" s="34">
        <f t="shared" si="18"/>
        <v>75992</v>
      </c>
      <c r="N63" s="34">
        <f>N8+N10+N12+N14+N16+N21+N23+N25+N29+N33+N51+N38+N42+N57+N59+N61</f>
        <v>55121</v>
      </c>
      <c r="O63" s="34">
        <f t="shared" si="18"/>
        <v>1528060.1450251222</v>
      </c>
      <c r="P63" s="34">
        <f t="shared" si="18"/>
        <v>661100.11643233674</v>
      </c>
      <c r="Q63" s="34">
        <f t="shared" si="18"/>
        <v>95988.05</v>
      </c>
      <c r="R63" s="34">
        <f t="shared" si="18"/>
        <v>450379.22277517349</v>
      </c>
    </row>
    <row r="64" spans="1:18">
      <c r="L64" s="725"/>
      <c r="M64" s="726"/>
      <c r="N64" s="726" t="s">
        <v>193</v>
      </c>
      <c r="O64" s="36">
        <f>+O63-E63+P63</f>
        <v>1916978.6468312484</v>
      </c>
    </row>
    <row r="65" spans="4:11">
      <c r="D65" s="479" t="s">
        <v>383</v>
      </c>
      <c r="E65" s="479"/>
      <c r="F65" s="479"/>
      <c r="G65" s="479"/>
      <c r="H65" s="479"/>
      <c r="I65" s="479"/>
      <c r="J65" s="479"/>
      <c r="K65" s="479"/>
    </row>
    <row r="66" spans="4:11">
      <c r="D66" s="479" t="s">
        <v>382</v>
      </c>
      <c r="E66" s="479"/>
      <c r="F66" s="479"/>
      <c r="G66" s="479"/>
      <c r="H66" s="479"/>
      <c r="I66" s="479"/>
      <c r="J66" s="479"/>
      <c r="K66" s="479"/>
    </row>
    <row r="67" spans="4:11">
      <c r="D67" s="257"/>
    </row>
    <row r="68" spans="4:11">
      <c r="D68" s="258"/>
    </row>
  </sheetData>
  <sheetProtection algorithmName="SHA-512" hashValue="x8D04jlFLpXeLYzsV4SaxX9G1EK6XqwPczWm/fGIatW1bx2ngnDZFAtlUnvQ7gPNhdKKi2a8ca5BpiFwArm2BQ==" saltValue="aOzdMSgxBeWp7gIcNPDtLQ==" spinCount="100000" sheet="1" objects="1" scenarios="1"/>
  <pageMargins left="0.75" right="0.75" top="1" bottom="0.5" header="0.25" footer="0.3"/>
  <pageSetup paperSize="3" orientation="landscape" horizontalDpi="1200" verticalDpi="1200" r:id="rId1"/>
  <headerFooter>
    <oddHeader>&amp;L&amp;G&amp;C&amp;"-,Bold"&amp;16 2023-2025 planning allocation
to Area Agencies on Aging</oddHeader>
  </headerFooter>
  <rowBreaks count="1" manualBreakCount="1">
    <brk id="64" max="16383" man="1"/>
  </rowBreaks>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rgb="FF00B0F0"/>
  </sheetPr>
  <dimension ref="A1:BI61"/>
  <sheetViews>
    <sheetView showGridLines="0" zoomScale="90" zoomScaleNormal="90" zoomScaleSheetLayoutView="100" workbookViewId="0">
      <pane xSplit="5" ySplit="1" topLeftCell="F2" activePane="bottomRight" state="frozen"/>
      <selection activeCell="C2" sqref="C2"/>
      <selection pane="topRight" activeCell="C2" sqref="C2"/>
      <selection pane="bottomLeft" activeCell="C2" sqref="C2"/>
      <selection pane="bottomRight" activeCell="H19" sqref="H19"/>
    </sheetView>
  </sheetViews>
  <sheetFormatPr defaultColWidth="9.140625" defaultRowHeight="16.5"/>
  <cols>
    <col min="1" max="1" width="11.85546875" style="865" customWidth="1" collapsed="1"/>
    <col min="2" max="3" width="10.7109375" style="844" hidden="1" customWidth="1" collapsed="1"/>
    <col min="4" max="4" width="13.7109375" style="844" bestFit="1" customWidth="1" collapsed="1"/>
    <col min="5" max="5" width="9.42578125" style="844" customWidth="1" collapsed="1"/>
    <col min="6" max="15" width="10.7109375" style="844" customWidth="1" collapsed="1"/>
    <col min="16" max="16" width="19.140625" style="844" bestFit="1" customWidth="1" collapsed="1"/>
    <col min="17" max="17" width="10.7109375" style="844" customWidth="1" collapsed="1"/>
    <col min="18" max="16384" width="9.140625" style="844" collapsed="1"/>
  </cols>
  <sheetData>
    <row r="1" spans="1:61" s="810" customFormat="1" ht="78.75" customHeight="1" thickBot="1">
      <c r="A1" s="809" t="s">
        <v>180</v>
      </c>
      <c r="B1" s="810" t="s">
        <v>58</v>
      </c>
      <c r="C1" s="810" t="s">
        <v>90</v>
      </c>
      <c r="D1" s="810" t="s">
        <v>91</v>
      </c>
      <c r="E1" s="811" t="s">
        <v>189</v>
      </c>
      <c r="F1" s="812" t="s">
        <v>82</v>
      </c>
      <c r="G1" s="812" t="s">
        <v>83</v>
      </c>
      <c r="H1" s="812" t="s">
        <v>84</v>
      </c>
      <c r="I1" s="812" t="s">
        <v>85</v>
      </c>
      <c r="J1" s="812" t="s">
        <v>86</v>
      </c>
      <c r="K1" s="812" t="s">
        <v>87</v>
      </c>
      <c r="L1" s="812" t="s">
        <v>88</v>
      </c>
      <c r="M1" s="812" t="s">
        <v>89</v>
      </c>
      <c r="N1" s="812" t="s">
        <v>409</v>
      </c>
      <c r="O1" s="812" t="s">
        <v>190</v>
      </c>
      <c r="P1" s="811" t="s">
        <v>163</v>
      </c>
      <c r="Q1" s="813" t="s">
        <v>407</v>
      </c>
      <c r="R1" s="814"/>
      <c r="S1" s="814"/>
      <c r="T1" s="814"/>
      <c r="U1" s="814"/>
      <c r="V1" s="814"/>
      <c r="W1" s="814"/>
      <c r="X1" s="814"/>
      <c r="Y1" s="814"/>
      <c r="Z1" s="814"/>
      <c r="AA1" s="814"/>
      <c r="AB1" s="814"/>
      <c r="AC1" s="814"/>
      <c r="AD1" s="814"/>
      <c r="AE1" s="814"/>
      <c r="AF1" s="814"/>
      <c r="AG1" s="814"/>
      <c r="AH1" s="814"/>
      <c r="AI1" s="814"/>
      <c r="AJ1" s="814"/>
      <c r="AK1" s="814"/>
      <c r="AL1" s="814"/>
      <c r="AM1" s="814"/>
      <c r="AN1" s="814"/>
      <c r="AO1" s="814"/>
      <c r="AP1" s="814"/>
      <c r="AQ1" s="814"/>
      <c r="AR1" s="814"/>
      <c r="AS1" s="814"/>
      <c r="AT1" s="814"/>
      <c r="AU1" s="814"/>
      <c r="AV1" s="814"/>
      <c r="AW1" s="814"/>
      <c r="AX1" s="814"/>
      <c r="AY1" s="814"/>
      <c r="AZ1" s="814"/>
      <c r="BA1" s="814"/>
      <c r="BB1" s="814"/>
      <c r="BC1" s="814"/>
      <c r="BD1" s="814"/>
      <c r="BE1" s="814"/>
      <c r="BF1" s="814"/>
      <c r="BG1" s="814"/>
      <c r="BH1" s="814"/>
      <c r="BI1" s="814"/>
    </row>
    <row r="2" spans="1:61" s="815" customFormat="1" ht="17.25" thickTop="1">
      <c r="A2" s="904" t="s">
        <v>181</v>
      </c>
      <c r="B2" s="815" t="s">
        <v>60</v>
      </c>
      <c r="C2" s="815" t="s">
        <v>99</v>
      </c>
      <c r="D2" s="816" t="s">
        <v>100</v>
      </c>
      <c r="E2" s="817">
        <v>1870</v>
      </c>
      <c r="F2" s="816">
        <f>PopulationData!E10</f>
        <v>36802.343632137228</v>
      </c>
      <c r="G2" s="816">
        <f>PopulationData!F10</f>
        <v>32244.984666250104</v>
      </c>
      <c r="H2" s="816">
        <f>PopulationData!G10</f>
        <v>23267.239145281252</v>
      </c>
      <c r="I2" s="816">
        <f>PopulationData!H10</f>
        <v>13236.000132818237</v>
      </c>
      <c r="J2" s="816">
        <f>PopulationData!I10</f>
        <v>7727.7317155502469</v>
      </c>
      <c r="K2" s="816">
        <f>PopulationData!J10</f>
        <v>7367.489611060224</v>
      </c>
      <c r="L2" s="816">
        <f>SUM(F2:K2)</f>
        <v>120645.7889030973</v>
      </c>
      <c r="M2" s="815">
        <f>SUM(I2:K2)</f>
        <v>28331.221459428707</v>
      </c>
      <c r="N2" s="815">
        <v>6230</v>
      </c>
      <c r="O2" s="815">
        <v>4967</v>
      </c>
      <c r="P2" s="818">
        <f>SUM(L2:O2)</f>
        <v>160174.01036252599</v>
      </c>
      <c r="Q2" s="819">
        <f>SUM(H2:K2)+N2+O2</f>
        <v>62795.460604709951</v>
      </c>
      <c r="R2" s="820" t="s">
        <v>309</v>
      </c>
      <c r="S2" s="821"/>
      <c r="T2" s="821"/>
      <c r="U2" s="821"/>
      <c r="V2" s="821"/>
      <c r="W2" s="821"/>
      <c r="X2" s="821"/>
      <c r="Y2" s="821"/>
      <c r="Z2" s="821"/>
      <c r="AA2" s="821"/>
      <c r="AB2" s="821"/>
      <c r="AC2" s="821"/>
      <c r="AD2" s="821"/>
      <c r="AE2" s="821"/>
      <c r="AF2" s="821"/>
      <c r="AG2" s="821"/>
      <c r="AH2" s="821"/>
      <c r="AI2" s="821"/>
      <c r="AJ2" s="821"/>
      <c r="AK2" s="821"/>
      <c r="AL2" s="821"/>
      <c r="AM2" s="821"/>
      <c r="AN2" s="821"/>
      <c r="AO2" s="821"/>
      <c r="AP2" s="821"/>
      <c r="AQ2" s="821"/>
      <c r="AR2" s="821"/>
      <c r="AS2" s="821"/>
      <c r="AT2" s="821"/>
      <c r="AU2" s="821"/>
      <c r="AV2" s="821"/>
      <c r="AW2" s="821"/>
      <c r="AX2" s="821"/>
      <c r="AY2" s="821"/>
      <c r="AZ2" s="821"/>
      <c r="BA2" s="821"/>
      <c r="BB2" s="821"/>
      <c r="BC2" s="821"/>
      <c r="BD2" s="821"/>
      <c r="BE2" s="821"/>
      <c r="BF2" s="821"/>
      <c r="BG2" s="821"/>
      <c r="BH2" s="821"/>
      <c r="BI2" s="821"/>
    </row>
    <row r="3" spans="1:61" s="822" customFormat="1">
      <c r="A3" s="905"/>
      <c r="B3" s="822" t="s">
        <v>61</v>
      </c>
      <c r="C3" s="822" t="s">
        <v>101</v>
      </c>
      <c r="D3" s="823" t="s">
        <v>102</v>
      </c>
      <c r="E3" s="824">
        <v>657</v>
      </c>
      <c r="F3" s="822">
        <f>PopulationData!E12</f>
        <v>4295.3608841018759</v>
      </c>
      <c r="G3" s="822">
        <f>PopulationData!F12</f>
        <v>3714.4232744431079</v>
      </c>
      <c r="H3" s="822">
        <f>PopulationData!G12</f>
        <v>2919.7342432595478</v>
      </c>
      <c r="I3" s="822">
        <f>PopulationData!H12</f>
        <v>1906.0537018107921</v>
      </c>
      <c r="J3" s="822">
        <f>PopulationData!I12</f>
        <v>1050.92149187006</v>
      </c>
      <c r="K3" s="822">
        <f>PopulationData!J12</f>
        <v>1054.8098081891353</v>
      </c>
      <c r="L3" s="823">
        <f t="shared" ref="L3:L6" si="0">SUM(F3:K3)</f>
        <v>14941.303403674519</v>
      </c>
      <c r="M3" s="822">
        <f>SUM(I3:K3)</f>
        <v>4011.7850018699874</v>
      </c>
      <c r="N3" s="822">
        <v>585</v>
      </c>
      <c r="O3" s="822">
        <v>484</v>
      </c>
      <c r="P3" s="825">
        <f>SUM(L3:O3)</f>
        <v>20022.088405544506</v>
      </c>
      <c r="Q3" s="826">
        <f>SUM(H3:K3)+N3+O3</f>
        <v>8000.5192451295352</v>
      </c>
      <c r="R3" s="820"/>
      <c r="S3" s="821"/>
      <c r="T3" s="821"/>
      <c r="U3" s="821"/>
      <c r="V3" s="821"/>
      <c r="W3" s="821"/>
      <c r="X3" s="821"/>
      <c r="Y3" s="821"/>
      <c r="Z3" s="821"/>
      <c r="AA3" s="821"/>
      <c r="AB3" s="821"/>
      <c r="AC3" s="821"/>
      <c r="AD3" s="821"/>
      <c r="AE3" s="821"/>
      <c r="AF3" s="821"/>
      <c r="AG3" s="821"/>
      <c r="AH3" s="821"/>
      <c r="AI3" s="821"/>
      <c r="AJ3" s="821"/>
      <c r="AK3" s="821"/>
      <c r="AL3" s="821"/>
      <c r="AM3" s="821"/>
      <c r="AN3" s="821"/>
      <c r="AO3" s="821"/>
      <c r="AP3" s="821"/>
      <c r="AQ3" s="821"/>
      <c r="AR3" s="821"/>
      <c r="AS3" s="821"/>
      <c r="AT3" s="821"/>
      <c r="AU3" s="821"/>
      <c r="AV3" s="821"/>
      <c r="AW3" s="821"/>
      <c r="AX3" s="821"/>
      <c r="AY3" s="821"/>
      <c r="AZ3" s="821"/>
      <c r="BA3" s="821"/>
      <c r="BB3" s="821"/>
      <c r="BC3" s="821"/>
      <c r="BD3" s="821"/>
      <c r="BE3" s="821"/>
      <c r="BF3" s="821"/>
      <c r="BG3" s="821"/>
      <c r="BH3" s="821"/>
      <c r="BI3" s="821"/>
    </row>
    <row r="4" spans="1:61" s="822" customFormat="1">
      <c r="A4" s="905"/>
      <c r="B4" s="822" t="s">
        <v>62</v>
      </c>
      <c r="C4" s="822" t="s">
        <v>103</v>
      </c>
      <c r="D4" s="823" t="s">
        <v>104</v>
      </c>
      <c r="E4" s="824">
        <v>431</v>
      </c>
      <c r="F4" s="822">
        <f>PopulationData!E14</f>
        <v>45326.650466161445</v>
      </c>
      <c r="G4" s="822">
        <f>PopulationData!F14</f>
        <v>40687.621506030453</v>
      </c>
      <c r="H4" s="822">
        <f>PopulationData!G14</f>
        <v>30794.861607768275</v>
      </c>
      <c r="I4" s="822">
        <f>PopulationData!H14</f>
        <v>18729.77773106116</v>
      </c>
      <c r="J4" s="822">
        <f>PopulationData!I14</f>
        <v>11146.714949516318</v>
      </c>
      <c r="K4" s="822">
        <f>PopulationData!J14</f>
        <v>11739.62427180369</v>
      </c>
      <c r="L4" s="823">
        <f t="shared" si="0"/>
        <v>158425.25053234134</v>
      </c>
      <c r="M4" s="822">
        <f>SUM(I4:K4)</f>
        <v>41616.11695238117</v>
      </c>
      <c r="N4" s="822">
        <v>19387</v>
      </c>
      <c r="O4" s="822">
        <v>10076</v>
      </c>
      <c r="P4" s="825">
        <f>SUM(L4:O4)</f>
        <v>229504.36748472252</v>
      </c>
      <c r="Q4" s="826">
        <f>SUM(H4:K4)+N4+O4</f>
        <v>101873.97856014945</v>
      </c>
      <c r="R4" s="820"/>
      <c r="S4" s="821"/>
      <c r="T4" s="821"/>
      <c r="U4" s="821"/>
      <c r="V4" s="821"/>
      <c r="W4" s="821"/>
      <c r="X4" s="821"/>
      <c r="Y4" s="821"/>
      <c r="Z4" s="821"/>
      <c r="AA4" s="821"/>
      <c r="AB4" s="821"/>
      <c r="AC4" s="821"/>
      <c r="AD4" s="821"/>
      <c r="AE4" s="821"/>
      <c r="AF4" s="821"/>
      <c r="AG4" s="821"/>
      <c r="AH4" s="821"/>
      <c r="AI4" s="821"/>
      <c r="AJ4" s="821"/>
      <c r="AK4" s="821"/>
      <c r="AL4" s="821"/>
      <c r="AM4" s="821"/>
      <c r="AN4" s="821"/>
      <c r="AO4" s="821"/>
      <c r="AP4" s="821"/>
      <c r="AQ4" s="821"/>
      <c r="AR4" s="821"/>
      <c r="AS4" s="821"/>
      <c r="AT4" s="821"/>
      <c r="AU4" s="821"/>
      <c r="AV4" s="821"/>
      <c r="AW4" s="821"/>
      <c r="AX4" s="821"/>
      <c r="AY4" s="821"/>
      <c r="AZ4" s="821"/>
      <c r="BA4" s="821"/>
      <c r="BB4" s="821"/>
      <c r="BC4" s="821"/>
      <c r="BD4" s="821"/>
      <c r="BE4" s="821"/>
      <c r="BF4" s="821"/>
      <c r="BG4" s="821"/>
      <c r="BH4" s="821"/>
      <c r="BI4" s="821"/>
    </row>
    <row r="5" spans="1:61" s="822" customFormat="1">
      <c r="A5" s="905"/>
      <c r="B5" s="827" t="s">
        <v>63</v>
      </c>
      <c r="C5" s="827" t="s">
        <v>105</v>
      </c>
      <c r="D5" s="828" t="s">
        <v>106</v>
      </c>
      <c r="E5" s="824">
        <v>724</v>
      </c>
      <c r="F5" s="823">
        <f>PopulationData!E16</f>
        <v>35205.375118155745</v>
      </c>
      <c r="G5" s="823">
        <f>PopulationData!F16</f>
        <v>29127.246302377374</v>
      </c>
      <c r="H5" s="823">
        <f>PopulationData!G16</f>
        <v>22688.7099832815</v>
      </c>
      <c r="I5" s="823">
        <f>PopulationData!H16</f>
        <v>14808.092802435585</v>
      </c>
      <c r="J5" s="823">
        <f>PopulationData!I16</f>
        <v>9523.1946694118342</v>
      </c>
      <c r="K5" s="823">
        <f>PopulationData!J16</f>
        <v>10556.221756102272</v>
      </c>
      <c r="L5" s="823">
        <f t="shared" si="0"/>
        <v>121908.84063176431</v>
      </c>
      <c r="M5" s="822">
        <f>SUM(I5:K5)</f>
        <v>34887.509227949689</v>
      </c>
      <c r="N5" s="822">
        <v>13277</v>
      </c>
      <c r="O5" s="822">
        <v>4679</v>
      </c>
      <c r="P5" s="825">
        <f>SUM(L5:O5)</f>
        <v>174752.34985971398</v>
      </c>
      <c r="Q5" s="826">
        <f>SUM(H5:K5)+N5+O5</f>
        <v>75532.21921123119</v>
      </c>
      <c r="R5" s="820"/>
      <c r="S5" s="821"/>
      <c r="T5" s="821"/>
      <c r="U5" s="821"/>
      <c r="V5" s="821"/>
      <c r="W5" s="821"/>
      <c r="X5" s="821"/>
      <c r="Y5" s="821"/>
      <c r="Z5" s="821"/>
      <c r="AA5" s="821"/>
      <c r="AB5" s="821"/>
      <c r="AC5" s="821"/>
      <c r="AD5" s="821"/>
      <c r="AE5" s="821"/>
      <c r="AF5" s="821"/>
      <c r="AG5" s="821"/>
      <c r="AH5" s="821"/>
      <c r="AI5" s="821"/>
      <c r="AJ5" s="821"/>
      <c r="AK5" s="821"/>
      <c r="AL5" s="821"/>
      <c r="AM5" s="821"/>
      <c r="AN5" s="821"/>
      <c r="AO5" s="821"/>
      <c r="AP5" s="821"/>
      <c r="AQ5" s="821"/>
      <c r="AR5" s="821"/>
      <c r="AS5" s="821"/>
      <c r="AT5" s="821"/>
      <c r="AU5" s="821"/>
      <c r="AV5" s="821"/>
      <c r="AW5" s="821"/>
      <c r="AX5" s="821"/>
      <c r="AY5" s="821"/>
      <c r="AZ5" s="821"/>
      <c r="BA5" s="821"/>
      <c r="BB5" s="821"/>
      <c r="BC5" s="821"/>
      <c r="BD5" s="821"/>
      <c r="BE5" s="821"/>
      <c r="BF5" s="821"/>
      <c r="BG5" s="821"/>
      <c r="BH5" s="821"/>
      <c r="BI5" s="821"/>
    </row>
    <row r="6" spans="1:61" s="822" customFormat="1" ht="14.25" customHeight="1">
      <c r="A6" s="906"/>
      <c r="B6" s="829"/>
      <c r="C6" s="830"/>
      <c r="D6" s="869" t="s">
        <v>182</v>
      </c>
      <c r="E6" s="832">
        <f>SUM(E2:E5)</f>
        <v>3682</v>
      </c>
      <c r="F6" s="833">
        <f>SUM(F2:F5)</f>
        <v>121629.73010055629</v>
      </c>
      <c r="G6" s="833">
        <f t="shared" ref="G6:M6" si="1">SUM(G2:G5)</f>
        <v>105774.27574910104</v>
      </c>
      <c r="H6" s="833">
        <f t="shared" si="1"/>
        <v>79670.544979590573</v>
      </c>
      <c r="I6" s="833">
        <f t="shared" si="1"/>
        <v>48679.924368125779</v>
      </c>
      <c r="J6" s="833">
        <f t="shared" si="1"/>
        <v>29448.562826348458</v>
      </c>
      <c r="K6" s="833">
        <f t="shared" si="1"/>
        <v>30718.145447155322</v>
      </c>
      <c r="L6" s="833">
        <f t="shared" si="0"/>
        <v>415921.18347087753</v>
      </c>
      <c r="M6" s="833">
        <f t="shared" si="1"/>
        <v>108846.63264162955</v>
      </c>
      <c r="N6" s="833">
        <f>SUM(N2:N5)</f>
        <v>39479</v>
      </c>
      <c r="O6" s="833">
        <f>SUM(O2:O5)</f>
        <v>20206</v>
      </c>
      <c r="P6" s="834">
        <f>SUM(P2:P5)</f>
        <v>584452.81611250702</v>
      </c>
      <c r="Q6" s="835">
        <f>SUM(Q2:Q5)</f>
        <v>248202.17762122012</v>
      </c>
      <c r="R6" s="820"/>
      <c r="S6" s="821"/>
      <c r="T6" s="821"/>
      <c r="U6" s="821"/>
      <c r="V6" s="821"/>
      <c r="W6" s="821"/>
      <c r="X6" s="821"/>
      <c r="Y6" s="821"/>
      <c r="Z6" s="821"/>
      <c r="AA6" s="821"/>
      <c r="AB6" s="821"/>
      <c r="AC6" s="821"/>
      <c r="AD6" s="821"/>
      <c r="AE6" s="821"/>
      <c r="AF6" s="821"/>
      <c r="AG6" s="821"/>
      <c r="AH6" s="821"/>
      <c r="AI6" s="821"/>
      <c r="AJ6" s="821"/>
      <c r="AK6" s="821"/>
      <c r="AL6" s="821"/>
      <c r="AM6" s="821"/>
      <c r="AN6" s="821"/>
      <c r="AO6" s="821"/>
      <c r="AP6" s="821"/>
      <c r="AQ6" s="821"/>
      <c r="AR6" s="821"/>
      <c r="AS6" s="821"/>
      <c r="AT6" s="821"/>
      <c r="AU6" s="821"/>
      <c r="AV6" s="821"/>
      <c r="AW6" s="821"/>
      <c r="AX6" s="821"/>
      <c r="AY6" s="821"/>
      <c r="AZ6" s="821"/>
      <c r="BA6" s="821"/>
      <c r="BB6" s="821"/>
      <c r="BC6" s="821"/>
      <c r="BD6" s="821"/>
      <c r="BE6" s="821"/>
      <c r="BF6" s="821"/>
      <c r="BG6" s="821"/>
      <c r="BH6" s="821"/>
      <c r="BI6" s="821"/>
    </row>
    <row r="7" spans="1:61" s="842" customFormat="1" ht="6.2" customHeight="1">
      <c r="A7" s="836"/>
      <c r="B7" s="837"/>
      <c r="C7" s="837"/>
      <c r="D7" s="837"/>
      <c r="E7" s="838"/>
      <c r="F7" s="839"/>
      <c r="G7" s="839"/>
      <c r="H7" s="839"/>
      <c r="I7" s="839"/>
      <c r="J7" s="839"/>
      <c r="K7" s="839"/>
      <c r="L7" s="839"/>
      <c r="M7" s="839"/>
      <c r="N7" s="839"/>
      <c r="O7" s="839"/>
      <c r="P7" s="840"/>
      <c r="Q7" s="839"/>
      <c r="R7" s="841"/>
      <c r="S7" s="814"/>
      <c r="T7" s="814"/>
      <c r="U7" s="814"/>
      <c r="V7" s="814"/>
      <c r="W7" s="814"/>
      <c r="X7" s="814"/>
      <c r="Y7" s="814"/>
      <c r="Z7" s="814"/>
      <c r="AA7" s="814"/>
      <c r="AB7" s="814"/>
      <c r="AC7" s="814"/>
      <c r="AD7" s="814"/>
      <c r="AE7" s="814"/>
      <c r="AF7" s="814"/>
      <c r="AG7" s="814"/>
      <c r="AH7" s="814"/>
      <c r="AI7" s="814"/>
      <c r="AJ7" s="814"/>
      <c r="AK7" s="814"/>
      <c r="AL7" s="814"/>
      <c r="AM7" s="814"/>
      <c r="AN7" s="814"/>
      <c r="AO7" s="814"/>
      <c r="AP7" s="814"/>
      <c r="AQ7" s="814"/>
      <c r="AR7" s="814"/>
      <c r="AS7" s="814"/>
      <c r="AT7" s="814"/>
      <c r="AU7" s="814"/>
      <c r="AV7" s="814"/>
      <c r="AW7" s="814"/>
      <c r="AX7" s="814"/>
      <c r="AY7" s="814"/>
      <c r="AZ7" s="814"/>
      <c r="BA7" s="814"/>
      <c r="BB7" s="814"/>
      <c r="BC7" s="814"/>
      <c r="BD7" s="814"/>
      <c r="BE7" s="814"/>
      <c r="BF7" s="814"/>
      <c r="BG7" s="814"/>
      <c r="BH7" s="814"/>
      <c r="BI7" s="814"/>
    </row>
    <row r="8" spans="1:61" s="822" customFormat="1">
      <c r="A8" s="907" t="s">
        <v>186</v>
      </c>
      <c r="B8" s="822" t="s">
        <v>59</v>
      </c>
      <c r="C8" s="822" t="s">
        <v>92</v>
      </c>
      <c r="D8" s="823" t="s">
        <v>93</v>
      </c>
      <c r="E8" s="825">
        <v>829</v>
      </c>
      <c r="F8" s="823">
        <f>PopulationData!E3</f>
        <v>2696.5119912025752</v>
      </c>
      <c r="G8" s="823">
        <f>PopulationData!F3</f>
        <v>3003.0603830333503</v>
      </c>
      <c r="H8" s="823">
        <f>PopulationData!G3</f>
        <v>2473.4947360790302</v>
      </c>
      <c r="I8" s="823">
        <f>PopulationData!H3</f>
        <v>1646.8271903446694</v>
      </c>
      <c r="J8" s="823">
        <f>PopulationData!I3</f>
        <v>985.31346898496929</v>
      </c>
      <c r="K8" s="823">
        <f>PopulationData!J3</f>
        <v>1081.0145651403589</v>
      </c>
      <c r="L8" s="823">
        <f>SUM(F8:K8)</f>
        <v>11886.222334784952</v>
      </c>
      <c r="M8" s="822">
        <f>SUM(I8:K8)</f>
        <v>3713.1552244699978</v>
      </c>
      <c r="N8" s="822">
        <v>556</v>
      </c>
      <c r="O8" s="822">
        <v>595</v>
      </c>
      <c r="P8" s="825">
        <f>SUM(L8:O8)</f>
        <v>16750.37755925495</v>
      </c>
      <c r="Q8" s="826">
        <f>SUM(H8:K8)+N8+O8</f>
        <v>7337.649960549028</v>
      </c>
      <c r="R8" s="820"/>
      <c r="S8" s="821"/>
      <c r="T8" s="821"/>
      <c r="U8" s="821"/>
      <c r="V8" s="821"/>
      <c r="W8" s="821"/>
      <c r="X8" s="821"/>
      <c r="Y8" s="821"/>
      <c r="Z8" s="821"/>
      <c r="AA8" s="821"/>
      <c r="AB8" s="821"/>
      <c r="AC8" s="821"/>
      <c r="AD8" s="821"/>
      <c r="AE8" s="821"/>
      <c r="AF8" s="821"/>
      <c r="AG8" s="821"/>
      <c r="AH8" s="821"/>
      <c r="AI8" s="821"/>
      <c r="AJ8" s="821"/>
      <c r="AK8" s="821"/>
      <c r="AL8" s="821"/>
      <c r="AM8" s="821"/>
      <c r="AN8" s="821"/>
      <c r="AO8" s="821"/>
      <c r="AP8" s="821"/>
      <c r="AQ8" s="821"/>
      <c r="AR8" s="821"/>
      <c r="AS8" s="821"/>
      <c r="AT8" s="821"/>
      <c r="AU8" s="821"/>
      <c r="AV8" s="821"/>
      <c r="AW8" s="821"/>
      <c r="AX8" s="821"/>
      <c r="AY8" s="821"/>
      <c r="AZ8" s="821"/>
      <c r="BA8" s="821"/>
      <c r="BB8" s="821"/>
      <c r="BC8" s="821"/>
      <c r="BD8" s="821"/>
      <c r="BE8" s="821"/>
      <c r="BF8" s="821"/>
      <c r="BG8" s="821"/>
      <c r="BH8" s="821"/>
      <c r="BI8" s="821"/>
    </row>
    <row r="9" spans="1:61" s="822" customFormat="1">
      <c r="A9" s="908"/>
      <c r="B9" s="822" t="s">
        <v>59</v>
      </c>
      <c r="C9" s="822" t="s">
        <v>92</v>
      </c>
      <c r="D9" s="823" t="s">
        <v>94</v>
      </c>
      <c r="E9" s="824">
        <v>1182</v>
      </c>
      <c r="F9" s="822">
        <f>PopulationData!E4</f>
        <v>20026.261463124112</v>
      </c>
      <c r="G9" s="822">
        <f>PopulationData!F4</f>
        <v>17433.146023706395</v>
      </c>
      <c r="H9" s="822">
        <f>PopulationData!G4</f>
        <v>14989.824053008022</v>
      </c>
      <c r="I9" s="822">
        <f>PopulationData!H4</f>
        <v>11247.16702343605</v>
      </c>
      <c r="J9" s="822">
        <f>PopulationData!I4</f>
        <v>7415.4872725219466</v>
      </c>
      <c r="K9" s="822">
        <f>PopulationData!J4</f>
        <v>6654.277907894867</v>
      </c>
      <c r="L9" s="823">
        <f>SUM(F9:K9)</f>
        <v>77766.163743691388</v>
      </c>
      <c r="M9" s="822">
        <f>SUM(I9:K9)</f>
        <v>25316.932203852863</v>
      </c>
      <c r="N9" s="822">
        <v>6682</v>
      </c>
      <c r="O9" s="822">
        <v>3667</v>
      </c>
      <c r="P9" s="825">
        <f>SUM(L9:O9)</f>
        <v>113432.09594754425</v>
      </c>
      <c r="Q9" s="826">
        <f>SUM(H9:K9)+N9+O9</f>
        <v>50655.756256860885</v>
      </c>
      <c r="R9" s="820"/>
      <c r="S9" s="821"/>
      <c r="T9" s="821"/>
      <c r="U9" s="821"/>
      <c r="V9" s="821"/>
      <c r="W9" s="821"/>
      <c r="X9" s="821"/>
      <c r="Y9" s="821"/>
      <c r="Z9" s="821"/>
      <c r="AA9" s="821"/>
      <c r="AB9" s="821"/>
      <c r="AC9" s="821"/>
      <c r="AD9" s="821"/>
      <c r="AE9" s="821"/>
      <c r="AF9" s="821"/>
      <c r="AG9" s="821"/>
      <c r="AH9" s="821"/>
      <c r="AI9" s="821"/>
      <c r="AJ9" s="821"/>
      <c r="AK9" s="821"/>
      <c r="AL9" s="821"/>
      <c r="AM9" s="821"/>
      <c r="AN9" s="821"/>
      <c r="AO9" s="821"/>
      <c r="AP9" s="821"/>
      <c r="AQ9" s="821"/>
      <c r="AR9" s="821"/>
      <c r="AS9" s="821"/>
      <c r="AT9" s="821"/>
      <c r="AU9" s="821"/>
      <c r="AV9" s="821"/>
      <c r="AW9" s="821"/>
      <c r="AX9" s="821"/>
      <c r="AY9" s="821"/>
      <c r="AZ9" s="821"/>
      <c r="BA9" s="821"/>
      <c r="BB9" s="821"/>
      <c r="BC9" s="821"/>
      <c r="BD9" s="821"/>
      <c r="BE9" s="821"/>
      <c r="BF9" s="821"/>
      <c r="BG9" s="821"/>
      <c r="BH9" s="821"/>
      <c r="BI9" s="821"/>
    </row>
    <row r="10" spans="1:61" s="822" customFormat="1">
      <c r="A10" s="908"/>
      <c r="B10" s="822" t="s">
        <v>59</v>
      </c>
      <c r="C10" s="822" t="s">
        <v>92</v>
      </c>
      <c r="D10" s="823" t="s">
        <v>95</v>
      </c>
      <c r="E10" s="824">
        <v>741</v>
      </c>
      <c r="F10" s="822">
        <f>PopulationData!E5</f>
        <v>4751.3414097352588</v>
      </c>
      <c r="G10" s="822">
        <f>PopulationData!F5</f>
        <v>4686.0147956175551</v>
      </c>
      <c r="H10" s="822">
        <f>PopulationData!G5</f>
        <v>4117.8000580731059</v>
      </c>
      <c r="I10" s="822">
        <f>PopulationData!H5</f>
        <v>3151.2492522805769</v>
      </c>
      <c r="J10" s="822">
        <f>PopulationData!I5</f>
        <v>2039.5004416511965</v>
      </c>
      <c r="K10" s="822">
        <f>PopulationData!J5</f>
        <v>1747.8633793433605</v>
      </c>
      <c r="L10" s="823">
        <f>SUM(F10:K10)</f>
        <v>20493.769336701058</v>
      </c>
      <c r="M10" s="822">
        <f>SUM(I10:K10)</f>
        <v>6938.6130732751335</v>
      </c>
      <c r="N10" s="822">
        <v>1291</v>
      </c>
      <c r="O10" s="822">
        <v>983</v>
      </c>
      <c r="P10" s="825">
        <f>SUM(L10:O10)</f>
        <v>29706.382409976191</v>
      </c>
      <c r="Q10" s="826">
        <f>SUM(H10:K10)+N10+O10</f>
        <v>13330.413131348239</v>
      </c>
      <c r="R10" s="820"/>
      <c r="S10" s="821"/>
      <c r="T10" s="821"/>
      <c r="U10" s="821"/>
      <c r="V10" s="821"/>
      <c r="W10" s="821"/>
      <c r="X10" s="821"/>
      <c r="Y10" s="821"/>
      <c r="Z10" s="821"/>
      <c r="AA10" s="821"/>
      <c r="AB10" s="821"/>
      <c r="AC10" s="821"/>
      <c r="AD10" s="821"/>
      <c r="AE10" s="821"/>
      <c r="AF10" s="821"/>
      <c r="AG10" s="821"/>
      <c r="AH10" s="821"/>
      <c r="AI10" s="821"/>
      <c r="AJ10" s="821"/>
      <c r="AK10" s="821"/>
      <c r="AL10" s="821"/>
      <c r="AM10" s="821"/>
      <c r="AN10" s="821"/>
      <c r="AO10" s="821"/>
      <c r="AP10" s="821"/>
      <c r="AQ10" s="821"/>
      <c r="AR10" s="821"/>
      <c r="AS10" s="821"/>
      <c r="AT10" s="821"/>
      <c r="AU10" s="821"/>
      <c r="AV10" s="821"/>
      <c r="AW10" s="821"/>
      <c r="AX10" s="821"/>
      <c r="AY10" s="821"/>
      <c r="AZ10" s="821"/>
      <c r="BA10" s="821"/>
      <c r="BB10" s="821"/>
      <c r="BC10" s="821"/>
      <c r="BD10" s="821"/>
      <c r="BE10" s="821"/>
      <c r="BF10" s="821"/>
      <c r="BG10" s="821"/>
      <c r="BH10" s="821"/>
      <c r="BI10" s="821"/>
    </row>
    <row r="11" spans="1:61" s="822" customFormat="1">
      <c r="A11" s="908"/>
      <c r="B11" s="822" t="s">
        <v>59</v>
      </c>
      <c r="C11" s="822" t="s">
        <v>92</v>
      </c>
      <c r="D11" s="823" t="s">
        <v>96</v>
      </c>
      <c r="E11" s="824">
        <v>1103</v>
      </c>
      <c r="F11" s="822">
        <f>PopulationData!E6</f>
        <v>2415.4564927713109</v>
      </c>
      <c r="G11" s="822">
        <f>PopulationData!F6</f>
        <v>2453.2134432359571</v>
      </c>
      <c r="H11" s="822">
        <f>PopulationData!G6</f>
        <v>1929.8484844256666</v>
      </c>
      <c r="I11" s="822">
        <f>PopulationData!H6</f>
        <v>1262.3087152631683</v>
      </c>
      <c r="J11" s="822">
        <f>PopulationData!I6</f>
        <v>782.26787646591436</v>
      </c>
      <c r="K11" s="822">
        <f>PopulationData!J6</f>
        <v>656.19133045675255</v>
      </c>
      <c r="L11" s="823">
        <f>SUM(F11:K11)</f>
        <v>9499.2863426187705</v>
      </c>
      <c r="M11" s="822">
        <f>SUM(I11:K11)</f>
        <v>2700.7679221858352</v>
      </c>
      <c r="N11" s="822">
        <v>396</v>
      </c>
      <c r="O11" s="822">
        <v>320</v>
      </c>
      <c r="P11" s="825">
        <f>SUM(L11:O11)</f>
        <v>12916.054264804607</v>
      </c>
      <c r="Q11" s="826">
        <f>SUM(H11:K11)+N11+O11</f>
        <v>5346.6164066115025</v>
      </c>
      <c r="R11" s="820"/>
      <c r="S11" s="821"/>
      <c r="T11" s="821"/>
      <c r="U11" s="821"/>
      <c r="V11" s="821"/>
      <c r="W11" s="821"/>
      <c r="X11" s="821"/>
      <c r="Y11" s="821"/>
      <c r="Z11" s="821"/>
      <c r="AA11" s="821"/>
      <c r="AB11" s="821"/>
      <c r="AC11" s="821"/>
      <c r="AD11" s="821"/>
      <c r="AE11" s="821"/>
      <c r="AF11" s="821"/>
      <c r="AG11" s="821"/>
      <c r="AH11" s="821"/>
      <c r="AI11" s="821"/>
      <c r="AJ11" s="821"/>
      <c r="AK11" s="821"/>
      <c r="AL11" s="821"/>
      <c r="AM11" s="821"/>
      <c r="AN11" s="821"/>
      <c r="AO11" s="821"/>
      <c r="AP11" s="821"/>
      <c r="AQ11" s="821"/>
      <c r="AR11" s="821"/>
      <c r="AS11" s="821"/>
      <c r="AT11" s="821"/>
      <c r="AU11" s="821"/>
      <c r="AV11" s="821"/>
      <c r="AW11" s="821"/>
      <c r="AX11" s="821"/>
      <c r="AY11" s="821"/>
      <c r="AZ11" s="821"/>
      <c r="BA11" s="821"/>
      <c r="BB11" s="821"/>
      <c r="BC11" s="821"/>
      <c r="BD11" s="821"/>
      <c r="BE11" s="821"/>
      <c r="BF11" s="821"/>
      <c r="BG11" s="821"/>
      <c r="BH11" s="821"/>
      <c r="BI11" s="821"/>
    </row>
    <row r="12" spans="1:61" s="822" customFormat="1">
      <c r="A12" s="908"/>
      <c r="B12" s="822" t="s">
        <v>59</v>
      </c>
      <c r="C12" s="822" t="s">
        <v>92</v>
      </c>
      <c r="D12" s="823" t="s">
        <v>97</v>
      </c>
      <c r="E12" s="824">
        <v>716</v>
      </c>
      <c r="F12" s="822">
        <f>PopulationData!E7</f>
        <v>7186.938213329493</v>
      </c>
      <c r="G12" s="822">
        <f>PopulationData!F7</f>
        <v>6498.7409689237174</v>
      </c>
      <c r="H12" s="822">
        <f>PopulationData!G7</f>
        <v>4977.3801983002068</v>
      </c>
      <c r="I12" s="822">
        <f>PopulationData!H7</f>
        <v>3539.0453876628817</v>
      </c>
      <c r="J12" s="822">
        <f>PopulationData!I7</f>
        <v>2211.8670350057964</v>
      </c>
      <c r="K12" s="822">
        <f>PopulationData!J7</f>
        <v>2603.4713561797994</v>
      </c>
      <c r="L12" s="823">
        <f>SUM(F12:K12)</f>
        <v>27017.44315940189</v>
      </c>
      <c r="M12" s="822">
        <f>SUM(I12:K12)</f>
        <v>8354.383778848478</v>
      </c>
      <c r="N12" s="822">
        <v>1706</v>
      </c>
      <c r="O12" s="822">
        <v>1277</v>
      </c>
      <c r="P12" s="825">
        <f>SUM(L12:O12)</f>
        <v>38354.826938250364</v>
      </c>
      <c r="Q12" s="826">
        <f>SUM(H12:K12)+N12+O12</f>
        <v>16314.763977148685</v>
      </c>
      <c r="R12" s="820"/>
      <c r="S12" s="821"/>
      <c r="T12" s="821"/>
      <c r="U12" s="821"/>
      <c r="V12" s="821"/>
      <c r="W12" s="821"/>
      <c r="X12" s="821"/>
      <c r="Y12" s="821"/>
      <c r="Z12" s="821"/>
      <c r="AA12" s="821"/>
      <c r="AB12" s="821"/>
      <c r="AC12" s="821"/>
      <c r="AD12" s="821"/>
      <c r="AE12" s="821"/>
      <c r="AF12" s="821"/>
      <c r="AG12" s="821"/>
      <c r="AH12" s="821"/>
      <c r="AI12" s="821"/>
      <c r="AJ12" s="821"/>
      <c r="AK12" s="821"/>
      <c r="AL12" s="821"/>
      <c r="AM12" s="821"/>
      <c r="AN12" s="821"/>
      <c r="AO12" s="821"/>
      <c r="AP12" s="821"/>
      <c r="AQ12" s="821"/>
      <c r="AR12" s="821"/>
      <c r="AS12" s="821"/>
      <c r="AT12" s="821"/>
      <c r="AU12" s="821"/>
      <c r="AV12" s="821"/>
      <c r="AW12" s="821"/>
      <c r="AX12" s="821"/>
      <c r="AY12" s="821"/>
      <c r="AZ12" s="821"/>
      <c r="BA12" s="821"/>
      <c r="BB12" s="821"/>
      <c r="BC12" s="821"/>
      <c r="BD12" s="821"/>
      <c r="BE12" s="821"/>
      <c r="BF12" s="821"/>
      <c r="BG12" s="821"/>
      <c r="BH12" s="821"/>
      <c r="BI12" s="821"/>
    </row>
    <row r="13" spans="1:61" s="822" customFormat="1">
      <c r="A13" s="908"/>
      <c r="B13" s="829"/>
      <c r="C13" s="830"/>
      <c r="D13" s="831" t="s">
        <v>182</v>
      </c>
      <c r="E13" s="834">
        <f>SUM(E8:E12)</f>
        <v>4571</v>
      </c>
      <c r="F13" s="833">
        <f>SUM(F8:F12)</f>
        <v>37076.509570162751</v>
      </c>
      <c r="G13" s="833">
        <f t="shared" ref="G13:Q13" si="2">SUM(G8:G12)</f>
        <v>34074.175614516978</v>
      </c>
      <c r="H13" s="833">
        <f t="shared" si="2"/>
        <v>28488.347529886036</v>
      </c>
      <c r="I13" s="833">
        <f t="shared" si="2"/>
        <v>20846.597568987345</v>
      </c>
      <c r="J13" s="833">
        <f t="shared" si="2"/>
        <v>13434.436094629822</v>
      </c>
      <c r="K13" s="833">
        <f t="shared" si="2"/>
        <v>12742.818539015139</v>
      </c>
      <c r="L13" s="833">
        <f t="shared" si="2"/>
        <v>146662.88491719807</v>
      </c>
      <c r="M13" s="833">
        <f t="shared" si="2"/>
        <v>47023.852202632304</v>
      </c>
      <c r="N13" s="833">
        <f t="shared" si="2"/>
        <v>10631</v>
      </c>
      <c r="O13" s="833">
        <f t="shared" si="2"/>
        <v>6842</v>
      </c>
      <c r="P13" s="834">
        <f t="shared" si="2"/>
        <v>211159.73711983036</v>
      </c>
      <c r="Q13" s="835">
        <f t="shared" si="2"/>
        <v>92985.199732518333</v>
      </c>
      <c r="R13" s="820"/>
      <c r="S13" s="821"/>
      <c r="T13" s="821"/>
      <c r="U13" s="821"/>
      <c r="V13" s="821"/>
      <c r="W13" s="821"/>
      <c r="X13" s="821"/>
      <c r="Y13" s="821"/>
      <c r="Z13" s="821"/>
      <c r="AA13" s="821"/>
      <c r="AB13" s="821"/>
      <c r="AC13" s="821"/>
      <c r="AD13" s="821"/>
      <c r="AE13" s="821"/>
      <c r="AF13" s="821"/>
      <c r="AG13" s="821"/>
      <c r="AH13" s="821"/>
      <c r="AI13" s="821"/>
      <c r="AJ13" s="821"/>
      <c r="AK13" s="821"/>
      <c r="AL13" s="821"/>
      <c r="AM13" s="821"/>
      <c r="AN13" s="821"/>
      <c r="AO13" s="821"/>
      <c r="AP13" s="821"/>
      <c r="AQ13" s="821"/>
      <c r="AR13" s="821"/>
      <c r="AS13" s="821"/>
      <c r="AT13" s="821"/>
      <c r="AU13" s="821"/>
      <c r="AV13" s="821"/>
      <c r="AW13" s="821"/>
      <c r="AX13" s="821"/>
      <c r="AY13" s="821"/>
      <c r="AZ13" s="821"/>
      <c r="BA13" s="821"/>
      <c r="BB13" s="821"/>
      <c r="BC13" s="821"/>
      <c r="BD13" s="821"/>
      <c r="BE13" s="821"/>
      <c r="BF13" s="821"/>
      <c r="BG13" s="821"/>
      <c r="BH13" s="821"/>
      <c r="BI13" s="821"/>
    </row>
    <row r="14" spans="1:61" ht="6.2" customHeight="1">
      <c r="A14" s="843"/>
      <c r="E14" s="845"/>
      <c r="F14" s="846"/>
      <c r="G14" s="846"/>
      <c r="H14" s="846"/>
      <c r="I14" s="846"/>
      <c r="J14" s="846"/>
      <c r="K14" s="846"/>
      <c r="L14" s="846"/>
      <c r="M14" s="846"/>
      <c r="N14" s="846"/>
      <c r="O14" s="846"/>
      <c r="P14" s="845"/>
      <c r="Q14" s="821"/>
      <c r="R14" s="820"/>
      <c r="S14" s="821"/>
      <c r="T14" s="821"/>
      <c r="U14" s="821"/>
      <c r="V14" s="821"/>
      <c r="W14" s="821"/>
      <c r="X14" s="821"/>
      <c r="Y14" s="821"/>
      <c r="Z14" s="821"/>
      <c r="AA14" s="821"/>
      <c r="AB14" s="821"/>
      <c r="AC14" s="821"/>
      <c r="AD14" s="821"/>
      <c r="AE14" s="821"/>
      <c r="AF14" s="821"/>
      <c r="AG14" s="821"/>
      <c r="AH14" s="821"/>
      <c r="AI14" s="821"/>
      <c r="AJ14" s="821"/>
      <c r="AK14" s="821"/>
      <c r="AL14" s="821"/>
      <c r="AM14" s="821"/>
      <c r="AN14" s="821"/>
      <c r="AO14" s="821"/>
      <c r="AP14" s="821"/>
      <c r="AQ14" s="821"/>
      <c r="AR14" s="821"/>
      <c r="AS14" s="821"/>
      <c r="AT14" s="821"/>
      <c r="AU14" s="821"/>
      <c r="AV14" s="821"/>
      <c r="AW14" s="821"/>
      <c r="AX14" s="821"/>
      <c r="AY14" s="821"/>
      <c r="AZ14" s="821"/>
      <c r="BA14" s="821"/>
      <c r="BB14" s="821"/>
      <c r="BC14" s="821"/>
      <c r="BD14" s="821"/>
      <c r="BE14" s="821"/>
      <c r="BF14" s="821"/>
      <c r="BG14" s="821"/>
      <c r="BH14" s="821"/>
      <c r="BI14" s="821"/>
    </row>
    <row r="15" spans="1:61" s="822" customFormat="1" ht="12.75" customHeight="1">
      <c r="A15" s="909" t="s">
        <v>183</v>
      </c>
      <c r="B15" s="822" t="s">
        <v>64</v>
      </c>
      <c r="C15" s="822" t="s">
        <v>107</v>
      </c>
      <c r="D15" s="823" t="s">
        <v>108</v>
      </c>
      <c r="E15" s="824">
        <v>676</v>
      </c>
      <c r="F15" s="822">
        <f>PopulationData!E18</f>
        <v>5341.0574072747868</v>
      </c>
      <c r="G15" s="822">
        <f>PopulationData!F18</f>
        <v>5618.0343413330265</v>
      </c>
      <c r="H15" s="822">
        <f>PopulationData!G18</f>
        <v>4634.9057671460105</v>
      </c>
      <c r="I15" s="822">
        <f>PopulationData!H18</f>
        <v>3165.6475913510903</v>
      </c>
      <c r="J15" s="822">
        <f>PopulationData!I18</f>
        <v>1940.0801400168673</v>
      </c>
      <c r="K15" s="822">
        <f>PopulationData!J18</f>
        <v>2119.3287946076789</v>
      </c>
      <c r="L15" s="823">
        <f>SUM(F15:K15)</f>
        <v>22819.054041729461</v>
      </c>
      <c r="M15" s="822">
        <f>SUM(I15:K15)</f>
        <v>7225.0565259756368</v>
      </c>
      <c r="N15" s="822">
        <v>1122</v>
      </c>
      <c r="O15" s="822">
        <v>920</v>
      </c>
      <c r="P15" s="825">
        <f>SUM(L15:O15)</f>
        <v>32086.110567705098</v>
      </c>
      <c r="Q15" s="826">
        <f>SUM(H15:K15)+N15+O15</f>
        <v>13901.962293121647</v>
      </c>
      <c r="R15" s="820"/>
      <c r="S15" s="821"/>
      <c r="T15" s="821"/>
      <c r="U15" s="821"/>
      <c r="V15" s="821"/>
      <c r="W15" s="821"/>
      <c r="X15" s="821"/>
      <c r="Y15" s="821"/>
      <c r="Z15" s="821"/>
      <c r="AA15" s="821"/>
      <c r="AB15" s="821"/>
      <c r="AC15" s="821"/>
      <c r="AD15" s="821"/>
      <c r="AE15" s="821"/>
      <c r="AF15" s="821"/>
      <c r="AG15" s="821"/>
      <c r="AH15" s="821"/>
      <c r="AI15" s="821"/>
      <c r="AJ15" s="821"/>
      <c r="AK15" s="821"/>
      <c r="AL15" s="821"/>
      <c r="AM15" s="821"/>
      <c r="AN15" s="821"/>
      <c r="AO15" s="821"/>
      <c r="AP15" s="821"/>
      <c r="AQ15" s="821"/>
      <c r="AR15" s="821"/>
      <c r="AS15" s="821"/>
      <c r="AT15" s="821"/>
      <c r="AU15" s="821"/>
      <c r="AV15" s="821"/>
      <c r="AW15" s="821"/>
      <c r="AX15" s="821"/>
      <c r="AY15" s="821"/>
      <c r="AZ15" s="821"/>
      <c r="BA15" s="821"/>
      <c r="BB15" s="821"/>
      <c r="BC15" s="821"/>
      <c r="BD15" s="821"/>
      <c r="BE15" s="821"/>
      <c r="BF15" s="821"/>
      <c r="BG15" s="821"/>
      <c r="BH15" s="821"/>
      <c r="BI15" s="821"/>
    </row>
    <row r="16" spans="1:61" s="822" customFormat="1">
      <c r="A16" s="910"/>
      <c r="B16" s="822" t="s">
        <v>64</v>
      </c>
      <c r="C16" s="822" t="s">
        <v>107</v>
      </c>
      <c r="D16" s="823" t="s">
        <v>109</v>
      </c>
      <c r="E16" s="824">
        <v>980</v>
      </c>
      <c r="F16" s="822">
        <f>PopulationData!E19</f>
        <v>4380.0024880336387</v>
      </c>
      <c r="G16" s="822">
        <f>PopulationData!F19</f>
        <v>4777.983277406518</v>
      </c>
      <c r="H16" s="822">
        <f>PopulationData!G19</f>
        <v>4150.9533515242274</v>
      </c>
      <c r="I16" s="822">
        <f>PopulationData!H19</f>
        <v>2788.1461067898035</v>
      </c>
      <c r="J16" s="822">
        <f>PopulationData!I19</f>
        <v>1573.889467450522</v>
      </c>
      <c r="K16" s="822">
        <f>PopulationData!J19</f>
        <v>1340.6626605354882</v>
      </c>
      <c r="L16" s="823">
        <f>SUM(F16:K16)</f>
        <v>19011.637351740195</v>
      </c>
      <c r="M16" s="822">
        <f>SUM(I16:K16)</f>
        <v>5702.698234775813</v>
      </c>
      <c r="N16" s="822">
        <v>1054</v>
      </c>
      <c r="O16" s="822">
        <v>906</v>
      </c>
      <c r="P16" s="825">
        <f>SUM(L16:O16)</f>
        <v>26674.335586516008</v>
      </c>
      <c r="Q16" s="826">
        <f>SUM(H16:K16)+N16+O16</f>
        <v>11813.651586300042</v>
      </c>
      <c r="R16" s="820"/>
      <c r="S16" s="821"/>
      <c r="T16" s="821"/>
      <c r="U16" s="821"/>
      <c r="V16" s="821"/>
      <c r="W16" s="821"/>
      <c r="X16" s="821"/>
      <c r="Y16" s="821"/>
      <c r="Z16" s="821"/>
      <c r="AA16" s="821"/>
      <c r="AB16" s="821"/>
      <c r="AC16" s="821"/>
      <c r="AD16" s="821"/>
      <c r="AE16" s="821"/>
      <c r="AF16" s="821"/>
      <c r="AG16" s="821"/>
      <c r="AH16" s="821"/>
      <c r="AI16" s="821"/>
      <c r="AJ16" s="821"/>
      <c r="AK16" s="821"/>
      <c r="AL16" s="821"/>
      <c r="AM16" s="821"/>
      <c r="AN16" s="821"/>
      <c r="AO16" s="821"/>
      <c r="AP16" s="821"/>
      <c r="AQ16" s="821"/>
      <c r="AR16" s="821"/>
      <c r="AS16" s="821"/>
      <c r="AT16" s="821"/>
      <c r="AU16" s="821"/>
      <c r="AV16" s="821"/>
      <c r="AW16" s="821"/>
      <c r="AX16" s="821"/>
      <c r="AY16" s="821"/>
      <c r="AZ16" s="821"/>
      <c r="BA16" s="821"/>
      <c r="BB16" s="821"/>
      <c r="BC16" s="821"/>
      <c r="BD16" s="821"/>
      <c r="BE16" s="821"/>
      <c r="BF16" s="821"/>
      <c r="BG16" s="821"/>
      <c r="BH16" s="821"/>
      <c r="BI16" s="821"/>
    </row>
    <row r="17" spans="1:61" s="822" customFormat="1">
      <c r="A17" s="910"/>
      <c r="B17" s="822" t="s">
        <v>64</v>
      </c>
      <c r="C17" s="822" t="s">
        <v>107</v>
      </c>
      <c r="D17" s="823" t="s">
        <v>110</v>
      </c>
      <c r="E17" s="824">
        <v>2290</v>
      </c>
      <c r="F17" s="822">
        <f>PopulationData!E20</f>
        <v>8356.5492739838501</v>
      </c>
      <c r="G17" s="822">
        <f>PopulationData!F20</f>
        <v>7709.0572847944568</v>
      </c>
      <c r="H17" s="822">
        <f>PopulationData!G20</f>
        <v>6692.093350130719</v>
      </c>
      <c r="I17" s="822">
        <f>PopulationData!H20</f>
        <v>4806.6957016961787</v>
      </c>
      <c r="J17" s="822">
        <f>PopulationData!I20</f>
        <v>3181.6881408695344</v>
      </c>
      <c r="K17" s="822">
        <f>PopulationData!J20</f>
        <v>2689.2322526062794</v>
      </c>
      <c r="L17" s="823">
        <f>SUM(F17:K17)</f>
        <v>33435.316004081018</v>
      </c>
      <c r="M17" s="822">
        <f>SUM(I17:K17)</f>
        <v>10677.616095171992</v>
      </c>
      <c r="N17" s="822">
        <v>1605</v>
      </c>
      <c r="O17" s="822">
        <v>1648</v>
      </c>
      <c r="P17" s="825">
        <f>SUM(L17:O17)</f>
        <v>47365.932099253012</v>
      </c>
      <c r="Q17" s="826">
        <f>SUM(H17:K17)+N17+O17</f>
        <v>20622.709445302709</v>
      </c>
      <c r="R17" s="820"/>
      <c r="S17" s="821"/>
      <c r="T17" s="821"/>
      <c r="U17" s="821"/>
      <c r="V17" s="821"/>
      <c r="W17" s="821"/>
      <c r="X17" s="821"/>
      <c r="Y17" s="821"/>
      <c r="Z17" s="821"/>
      <c r="AA17" s="821"/>
      <c r="AB17" s="821"/>
      <c r="AC17" s="821"/>
      <c r="AD17" s="821"/>
      <c r="AE17" s="821"/>
      <c r="AF17" s="821"/>
      <c r="AG17" s="821"/>
      <c r="AH17" s="821"/>
      <c r="AI17" s="821"/>
      <c r="AJ17" s="821"/>
      <c r="AK17" s="821"/>
      <c r="AL17" s="821"/>
      <c r="AM17" s="821"/>
      <c r="AN17" s="821"/>
      <c r="AO17" s="821"/>
      <c r="AP17" s="821"/>
      <c r="AQ17" s="821"/>
      <c r="AR17" s="821"/>
      <c r="AS17" s="821"/>
      <c r="AT17" s="821"/>
      <c r="AU17" s="821"/>
      <c r="AV17" s="821"/>
      <c r="AW17" s="821"/>
      <c r="AX17" s="821"/>
      <c r="AY17" s="821"/>
      <c r="AZ17" s="821"/>
      <c r="BA17" s="821"/>
      <c r="BB17" s="821"/>
      <c r="BC17" s="821"/>
      <c r="BD17" s="821"/>
      <c r="BE17" s="821"/>
      <c r="BF17" s="821"/>
      <c r="BG17" s="821"/>
      <c r="BH17" s="821"/>
      <c r="BI17" s="821"/>
    </row>
    <row r="18" spans="1:61" s="822" customFormat="1">
      <c r="A18" s="910"/>
      <c r="B18" s="829"/>
      <c r="C18" s="830"/>
      <c r="D18" s="831" t="s">
        <v>182</v>
      </c>
      <c r="E18" s="834">
        <f>SUM(E15:E17)</f>
        <v>3946</v>
      </c>
      <c r="F18" s="833">
        <f>SUM(F15:F17)</f>
        <v>18077.609169292278</v>
      </c>
      <c r="G18" s="833">
        <f t="shared" ref="G18:Q18" si="3">SUM(G15:G17)</f>
        <v>18105.074903534001</v>
      </c>
      <c r="H18" s="833">
        <f t="shared" si="3"/>
        <v>15477.952468800957</v>
      </c>
      <c r="I18" s="833">
        <f t="shared" si="3"/>
        <v>10760.489399837072</v>
      </c>
      <c r="J18" s="833">
        <f t="shared" si="3"/>
        <v>6695.6577483369238</v>
      </c>
      <c r="K18" s="833">
        <f t="shared" si="3"/>
        <v>6149.2237077494465</v>
      </c>
      <c r="L18" s="833">
        <f t="shared" si="3"/>
        <v>75266.007397550682</v>
      </c>
      <c r="M18" s="833">
        <f t="shared" si="3"/>
        <v>23605.370855923444</v>
      </c>
      <c r="N18" s="833">
        <f t="shared" si="3"/>
        <v>3781</v>
      </c>
      <c r="O18" s="833">
        <f t="shared" si="3"/>
        <v>3474</v>
      </c>
      <c r="P18" s="834">
        <f t="shared" si="3"/>
        <v>106126.37825347412</v>
      </c>
      <c r="Q18" s="835">
        <f t="shared" si="3"/>
        <v>46338.323324724399</v>
      </c>
      <c r="R18" s="820"/>
      <c r="S18" s="821"/>
      <c r="T18" s="821"/>
      <c r="U18" s="821"/>
      <c r="V18" s="821"/>
      <c r="W18" s="821"/>
      <c r="X18" s="821"/>
      <c r="Y18" s="821"/>
      <c r="Z18" s="821"/>
      <c r="AA18" s="821"/>
      <c r="AB18" s="821"/>
      <c r="AC18" s="821"/>
      <c r="AD18" s="821"/>
      <c r="AE18" s="821"/>
      <c r="AF18" s="821"/>
      <c r="AG18" s="821"/>
      <c r="AH18" s="821"/>
      <c r="AI18" s="821"/>
      <c r="AJ18" s="821"/>
      <c r="AK18" s="821"/>
      <c r="AL18" s="821"/>
      <c r="AM18" s="821"/>
      <c r="AN18" s="821"/>
      <c r="AO18" s="821"/>
      <c r="AP18" s="821"/>
      <c r="AQ18" s="821"/>
      <c r="AR18" s="821"/>
      <c r="AS18" s="821"/>
      <c r="AT18" s="821"/>
      <c r="AU18" s="821"/>
      <c r="AV18" s="821"/>
      <c r="AW18" s="821"/>
      <c r="AX18" s="821"/>
      <c r="AY18" s="821"/>
      <c r="AZ18" s="821"/>
      <c r="BA18" s="821"/>
      <c r="BB18" s="821"/>
      <c r="BC18" s="821"/>
      <c r="BD18" s="821"/>
      <c r="BE18" s="821"/>
      <c r="BF18" s="821"/>
      <c r="BG18" s="821"/>
      <c r="BH18" s="821"/>
      <c r="BI18" s="821"/>
    </row>
    <row r="19" spans="1:61" ht="6.2" customHeight="1">
      <c r="A19" s="847"/>
      <c r="E19" s="845"/>
      <c r="P19" s="845"/>
      <c r="Q19" s="821"/>
      <c r="R19" s="820"/>
      <c r="S19" s="821"/>
      <c r="T19" s="821"/>
      <c r="U19" s="821"/>
      <c r="V19" s="821"/>
      <c r="W19" s="821"/>
      <c r="X19" s="821"/>
      <c r="Y19" s="821"/>
      <c r="Z19" s="821"/>
      <c r="AA19" s="821"/>
      <c r="AB19" s="821"/>
      <c r="AC19" s="821"/>
      <c r="AD19" s="821"/>
      <c r="AE19" s="821"/>
      <c r="AF19" s="821"/>
      <c r="AG19" s="821"/>
      <c r="AH19" s="821"/>
      <c r="AI19" s="821"/>
      <c r="AJ19" s="821"/>
      <c r="AK19" s="821"/>
      <c r="AL19" s="821"/>
      <c r="AM19" s="821"/>
      <c r="AN19" s="821"/>
      <c r="AO19" s="821"/>
      <c r="AP19" s="821"/>
      <c r="AQ19" s="821"/>
      <c r="AR19" s="821"/>
      <c r="AS19" s="821"/>
      <c r="AT19" s="821"/>
      <c r="AU19" s="821"/>
      <c r="AV19" s="821"/>
      <c r="AW19" s="821"/>
      <c r="AX19" s="821"/>
      <c r="AY19" s="821"/>
      <c r="AZ19" s="821"/>
      <c r="BA19" s="821"/>
      <c r="BB19" s="821"/>
      <c r="BC19" s="821"/>
      <c r="BD19" s="821"/>
      <c r="BE19" s="821"/>
      <c r="BF19" s="821"/>
      <c r="BG19" s="821"/>
      <c r="BH19" s="821"/>
      <c r="BI19" s="821"/>
    </row>
    <row r="20" spans="1:61" s="822" customFormat="1">
      <c r="A20" s="907" t="s">
        <v>111</v>
      </c>
      <c r="B20" s="822" t="s">
        <v>65</v>
      </c>
      <c r="C20" s="822" t="s">
        <v>111</v>
      </c>
      <c r="D20" s="823" t="s">
        <v>111</v>
      </c>
      <c r="E20" s="824">
        <v>4553</v>
      </c>
      <c r="F20" s="822">
        <f>PopulationData!E23</f>
        <v>26080.555765763056</v>
      </c>
      <c r="G20" s="822">
        <f>PopulationData!F23</f>
        <v>26813.120163198975</v>
      </c>
      <c r="H20" s="822">
        <f>PopulationData!G23</f>
        <v>21530.769264768551</v>
      </c>
      <c r="I20" s="822">
        <f>PopulationData!H23</f>
        <v>13908.414288727923</v>
      </c>
      <c r="J20" s="822">
        <f>PopulationData!I23</f>
        <v>8914.0480805427451</v>
      </c>
      <c r="K20" s="822">
        <f>PopulationData!J23</f>
        <v>9417.7363920517491</v>
      </c>
      <c r="L20" s="823">
        <f>SUM(F20:K20)</f>
        <v>106664.643955053</v>
      </c>
      <c r="M20" s="822">
        <f>SUM(I20:K20)</f>
        <v>32240.198761322416</v>
      </c>
      <c r="N20" s="822">
        <v>3228</v>
      </c>
      <c r="O20" s="822">
        <v>6036</v>
      </c>
      <c r="P20" s="825">
        <f>SUM(L20:O20)</f>
        <v>148168.84271637542</v>
      </c>
      <c r="Q20" s="826">
        <f>SUM(H20:K20)+N20+O20</f>
        <v>63034.968026090966</v>
      </c>
      <c r="R20" s="820"/>
      <c r="S20" s="821"/>
      <c r="T20" s="821"/>
      <c r="U20" s="821"/>
      <c r="V20" s="821"/>
      <c r="W20" s="821"/>
      <c r="X20" s="821"/>
      <c r="Y20" s="821"/>
      <c r="Z20" s="821"/>
      <c r="AA20" s="821"/>
      <c r="AB20" s="821"/>
      <c r="AC20" s="821"/>
      <c r="AD20" s="821"/>
      <c r="AE20" s="821"/>
      <c r="AF20" s="821"/>
      <c r="AG20" s="821"/>
      <c r="AH20" s="821"/>
      <c r="AI20" s="821"/>
      <c r="AJ20" s="821"/>
      <c r="AK20" s="821"/>
      <c r="AL20" s="821"/>
      <c r="AM20" s="821"/>
      <c r="AN20" s="821"/>
      <c r="AO20" s="821"/>
      <c r="AP20" s="821"/>
      <c r="AQ20" s="821"/>
      <c r="AR20" s="821"/>
      <c r="AS20" s="821"/>
      <c r="AT20" s="821"/>
      <c r="AU20" s="821"/>
      <c r="AV20" s="821"/>
      <c r="AW20" s="821"/>
      <c r="AX20" s="821"/>
      <c r="AY20" s="821"/>
      <c r="AZ20" s="821"/>
      <c r="BA20" s="821"/>
      <c r="BB20" s="821"/>
      <c r="BC20" s="821"/>
      <c r="BD20" s="821"/>
      <c r="BE20" s="821"/>
      <c r="BF20" s="821"/>
      <c r="BG20" s="821"/>
      <c r="BH20" s="821"/>
      <c r="BI20" s="821"/>
    </row>
    <row r="21" spans="1:61">
      <c r="A21" s="903"/>
      <c r="B21" s="829"/>
      <c r="C21" s="830"/>
      <c r="D21" s="831" t="s">
        <v>182</v>
      </c>
      <c r="E21" s="834">
        <f>SUM(E20)</f>
        <v>4553</v>
      </c>
      <c r="F21" s="833">
        <f>SUM(F20)</f>
        <v>26080.555765763056</v>
      </c>
      <c r="G21" s="833">
        <f t="shared" ref="G21:L21" si="4">SUM(G20)</f>
        <v>26813.120163198975</v>
      </c>
      <c r="H21" s="833">
        <f t="shared" si="4"/>
        <v>21530.769264768551</v>
      </c>
      <c r="I21" s="833">
        <f t="shared" si="4"/>
        <v>13908.414288727923</v>
      </c>
      <c r="J21" s="833">
        <f t="shared" si="4"/>
        <v>8914.0480805427451</v>
      </c>
      <c r="K21" s="833">
        <f t="shared" si="4"/>
        <v>9417.7363920517491</v>
      </c>
      <c r="L21" s="833">
        <f t="shared" si="4"/>
        <v>106664.643955053</v>
      </c>
      <c r="M21" s="833">
        <f>SUM(M20)</f>
        <v>32240.198761322416</v>
      </c>
      <c r="N21" s="833">
        <f>SUM(N20)</f>
        <v>3228</v>
      </c>
      <c r="O21" s="833">
        <f>SUM(O20)</f>
        <v>6036</v>
      </c>
      <c r="P21" s="834">
        <f>SUM(P20)</f>
        <v>148168.84271637542</v>
      </c>
      <c r="Q21" s="835">
        <f>SUM(Q20)</f>
        <v>63034.968026090966</v>
      </c>
      <c r="R21" s="820"/>
      <c r="S21" s="821"/>
      <c r="T21" s="821"/>
      <c r="U21" s="821"/>
      <c r="V21" s="821"/>
      <c r="W21" s="821"/>
      <c r="X21" s="821"/>
      <c r="Y21" s="821"/>
      <c r="Z21" s="821"/>
      <c r="AA21" s="821"/>
      <c r="AB21" s="821"/>
      <c r="AC21" s="821"/>
      <c r="AD21" s="821"/>
      <c r="AE21" s="821"/>
      <c r="AF21" s="821"/>
      <c r="AG21" s="821"/>
      <c r="AH21" s="821"/>
      <c r="AI21" s="821"/>
      <c r="AJ21" s="821"/>
      <c r="AK21" s="821"/>
      <c r="AL21" s="821"/>
      <c r="AM21" s="821"/>
      <c r="AN21" s="821"/>
      <c r="AO21" s="821"/>
      <c r="AP21" s="821"/>
      <c r="AQ21" s="821"/>
      <c r="AR21" s="821"/>
      <c r="AS21" s="821"/>
      <c r="AT21" s="821"/>
      <c r="AU21" s="821"/>
      <c r="AV21" s="821"/>
      <c r="AW21" s="821"/>
      <c r="AX21" s="821"/>
      <c r="AY21" s="821"/>
      <c r="AZ21" s="821"/>
      <c r="BA21" s="821"/>
      <c r="BB21" s="821"/>
      <c r="BC21" s="821"/>
      <c r="BD21" s="821"/>
      <c r="BE21" s="821"/>
      <c r="BF21" s="821"/>
      <c r="BG21" s="821"/>
      <c r="BH21" s="821"/>
      <c r="BI21" s="821"/>
    </row>
    <row r="22" spans="1:61" ht="6.2" customHeight="1">
      <c r="A22" s="843"/>
      <c r="E22" s="845"/>
      <c r="P22" s="845"/>
      <c r="Q22" s="821"/>
      <c r="R22" s="820"/>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c r="AX22" s="821"/>
      <c r="AY22" s="821"/>
      <c r="AZ22" s="821"/>
      <c r="BA22" s="821"/>
      <c r="BB22" s="821"/>
      <c r="BC22" s="821"/>
      <c r="BD22" s="821"/>
      <c r="BE22" s="821"/>
      <c r="BF22" s="821"/>
      <c r="BG22" s="821"/>
      <c r="BH22" s="821"/>
      <c r="BI22" s="821"/>
    </row>
    <row r="23" spans="1:61" s="822" customFormat="1">
      <c r="A23" s="907" t="s">
        <v>185</v>
      </c>
      <c r="B23" s="822" t="s">
        <v>68</v>
      </c>
      <c r="C23" s="822" t="s">
        <v>116</v>
      </c>
      <c r="D23" s="823" t="s">
        <v>117</v>
      </c>
      <c r="E23" s="824">
        <v>2784</v>
      </c>
      <c r="F23" s="822">
        <f>PopulationData!E31</f>
        <v>15851.582033022947</v>
      </c>
      <c r="G23" s="822">
        <f>PopulationData!F31</f>
        <v>16051.760375350161</v>
      </c>
      <c r="H23" s="822">
        <f>PopulationData!G31</f>
        <v>13162.018243849085</v>
      </c>
      <c r="I23" s="822">
        <f>PopulationData!H31</f>
        <v>9707.6805390110567</v>
      </c>
      <c r="J23" s="822">
        <f>PopulationData!I31</f>
        <v>6832.058968224108</v>
      </c>
      <c r="K23" s="822">
        <f>PopulationData!J31</f>
        <v>6878.7156944546432</v>
      </c>
      <c r="L23" s="823">
        <f>SUM(F23:K23)</f>
        <v>68483.815853912005</v>
      </c>
      <c r="M23" s="822">
        <f>SUM(I23:K23)</f>
        <v>23418.455201689809</v>
      </c>
      <c r="N23" s="822">
        <v>3716</v>
      </c>
      <c r="O23" s="822">
        <v>3899</v>
      </c>
      <c r="P23" s="825">
        <f>SUM(L23:O23)</f>
        <v>99517.271055601814</v>
      </c>
      <c r="Q23" s="826">
        <f>SUM(H23:K23)+N23+O23</f>
        <v>44195.47344553889</v>
      </c>
      <c r="R23" s="820"/>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c r="AX23" s="821"/>
      <c r="AY23" s="821"/>
      <c r="AZ23" s="821"/>
      <c r="BA23" s="821"/>
      <c r="BB23" s="821"/>
      <c r="BC23" s="821"/>
      <c r="BD23" s="821"/>
      <c r="BE23" s="821"/>
      <c r="BF23" s="821"/>
      <c r="BG23" s="821"/>
      <c r="BH23" s="821"/>
      <c r="BI23" s="821"/>
    </row>
    <row r="24" spans="1:61" s="822" customFormat="1">
      <c r="A24" s="908"/>
      <c r="B24" s="822" t="s">
        <v>68</v>
      </c>
      <c r="C24" s="822" t="s">
        <v>116</v>
      </c>
      <c r="D24" s="823" t="s">
        <v>118</v>
      </c>
      <c r="E24" s="824">
        <v>1640</v>
      </c>
      <c r="F24" s="822">
        <f>PopulationData!E32</f>
        <v>7141.1371362057853</v>
      </c>
      <c r="G24" s="822">
        <f>PopulationData!F32</f>
        <v>7299.2244577679685</v>
      </c>
      <c r="H24" s="822">
        <f>PopulationData!G32</f>
        <v>6356.1484760383755</v>
      </c>
      <c r="I24" s="822">
        <f>PopulationData!H32</f>
        <v>4697.9650903543643</v>
      </c>
      <c r="J24" s="822">
        <f>PopulationData!I32</f>
        <v>3103.0490093624576</v>
      </c>
      <c r="K24" s="822">
        <f>PopulationData!J32</f>
        <v>3117.5464795510384</v>
      </c>
      <c r="L24" s="823">
        <f>SUM(F24:K24)</f>
        <v>31715.070649279987</v>
      </c>
      <c r="M24" s="822">
        <f>SUM(I24:K24)</f>
        <v>10918.56057926786</v>
      </c>
      <c r="N24" s="822">
        <v>1622</v>
      </c>
      <c r="O24" s="822">
        <v>2126</v>
      </c>
      <c r="P24" s="825">
        <f>SUM(L24:O24)</f>
        <v>46381.631228547849</v>
      </c>
      <c r="Q24" s="826">
        <f>SUM(H24:K24)+N24+O24</f>
        <v>21022.709055306237</v>
      </c>
      <c r="R24" s="820"/>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821"/>
      <c r="BA24" s="821"/>
      <c r="BB24" s="821"/>
      <c r="BC24" s="821"/>
      <c r="BD24" s="821"/>
      <c r="BE24" s="821"/>
      <c r="BF24" s="821"/>
      <c r="BG24" s="821"/>
      <c r="BH24" s="821"/>
      <c r="BI24" s="821"/>
    </row>
    <row r="25" spans="1:61" s="822" customFormat="1" ht="15" customHeight="1">
      <c r="A25" s="908"/>
      <c r="B25" s="829"/>
      <c r="C25" s="830"/>
      <c r="D25" s="831" t="s">
        <v>182</v>
      </c>
      <c r="E25" s="834">
        <f>SUM(E23:E24)</f>
        <v>4424</v>
      </c>
      <c r="F25" s="833">
        <f>SUM(F23:F24)</f>
        <v>22992.719169228731</v>
      </c>
      <c r="G25" s="833">
        <f t="shared" ref="G25:Q25" si="5">SUM(G23:G24)</f>
        <v>23350.984833118127</v>
      </c>
      <c r="H25" s="833">
        <f t="shared" si="5"/>
        <v>19518.16671988746</v>
      </c>
      <c r="I25" s="833">
        <f t="shared" si="5"/>
        <v>14405.645629365421</v>
      </c>
      <c r="J25" s="833">
        <f t="shared" si="5"/>
        <v>9935.1079775865655</v>
      </c>
      <c r="K25" s="833">
        <f t="shared" si="5"/>
        <v>9996.262174005682</v>
      </c>
      <c r="L25" s="833">
        <f t="shared" si="5"/>
        <v>100198.88650319198</v>
      </c>
      <c r="M25" s="833">
        <f t="shared" si="5"/>
        <v>34337.01578095767</v>
      </c>
      <c r="N25" s="833">
        <f t="shared" si="5"/>
        <v>5338</v>
      </c>
      <c r="O25" s="833">
        <f t="shared" si="5"/>
        <v>6025</v>
      </c>
      <c r="P25" s="834">
        <f t="shared" si="5"/>
        <v>145898.90228414966</v>
      </c>
      <c r="Q25" s="835">
        <f t="shared" si="5"/>
        <v>65218.182500845127</v>
      </c>
      <c r="R25" s="820"/>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A25" s="821"/>
      <c r="BB25" s="821"/>
      <c r="BC25" s="821"/>
      <c r="BD25" s="821"/>
      <c r="BE25" s="821"/>
      <c r="BF25" s="821"/>
      <c r="BG25" s="821"/>
      <c r="BH25" s="821"/>
      <c r="BI25" s="821"/>
    </row>
    <row r="26" spans="1:61" s="821" customFormat="1" ht="6.2" customHeight="1">
      <c r="A26" s="848"/>
      <c r="B26" s="849"/>
      <c r="C26" s="47"/>
      <c r="D26" s="47"/>
      <c r="E26" s="850"/>
      <c r="F26" s="851"/>
      <c r="G26" s="851"/>
      <c r="H26" s="851"/>
      <c r="I26" s="851"/>
      <c r="J26" s="851"/>
      <c r="K26" s="851"/>
      <c r="L26" s="851"/>
      <c r="M26" s="851"/>
      <c r="N26" s="851"/>
      <c r="O26" s="851"/>
      <c r="P26" s="850"/>
      <c r="Q26" s="851"/>
      <c r="R26" s="820"/>
    </row>
    <row r="27" spans="1:61" s="822" customFormat="1">
      <c r="A27" s="898" t="s">
        <v>184</v>
      </c>
      <c r="B27" s="822" t="s">
        <v>70</v>
      </c>
      <c r="C27" s="822" t="s">
        <v>125</v>
      </c>
      <c r="D27" s="823" t="s">
        <v>126</v>
      </c>
      <c r="E27" s="824">
        <v>2979</v>
      </c>
      <c r="F27" s="822">
        <f>PopulationData!E35</f>
        <v>1977.9329148609888</v>
      </c>
      <c r="G27" s="822">
        <f>PopulationData!F35</f>
        <v>2204.8834458461552</v>
      </c>
      <c r="H27" s="822">
        <f>PopulationData!G35</f>
        <v>1806.5145243211346</v>
      </c>
      <c r="I27" s="822">
        <f>PopulationData!H35</f>
        <v>1296.9893980994414</v>
      </c>
      <c r="J27" s="822">
        <f>PopulationData!I35</f>
        <v>794.030836185765</v>
      </c>
      <c r="K27" s="822">
        <f>PopulationData!J35</f>
        <v>692.82558712516573</v>
      </c>
      <c r="L27" s="823">
        <f t="shared" ref="L27:L36" si="6">SUM(F27:K27)</f>
        <v>8773.1767064386495</v>
      </c>
      <c r="M27" s="822">
        <f t="shared" ref="M27:M36" si="7">SUM(I27:K27)</f>
        <v>2783.8458214103721</v>
      </c>
      <c r="N27" s="822">
        <v>337</v>
      </c>
      <c r="O27" s="822">
        <v>241</v>
      </c>
      <c r="P27" s="825">
        <f t="shared" ref="P27:P36" si="8">SUM(L27:O27)</f>
        <v>12135.022527849022</v>
      </c>
      <c r="Q27" s="826">
        <f t="shared" ref="Q27:Q36" si="9">SUM(H27:K27)+N27+O27</f>
        <v>5168.3603457315066</v>
      </c>
      <c r="R27" s="820"/>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c r="AX27" s="821"/>
      <c r="AY27" s="821"/>
      <c r="AZ27" s="821"/>
      <c r="BA27" s="821"/>
      <c r="BB27" s="821"/>
      <c r="BC27" s="821"/>
      <c r="BD27" s="821"/>
      <c r="BE27" s="821"/>
      <c r="BF27" s="821"/>
      <c r="BG27" s="821"/>
      <c r="BH27" s="821"/>
      <c r="BI27" s="821"/>
    </row>
    <row r="28" spans="1:61" s="822" customFormat="1">
      <c r="A28" s="899"/>
      <c r="B28" s="822" t="s">
        <v>70</v>
      </c>
      <c r="C28" s="822" t="s">
        <v>125</v>
      </c>
      <c r="D28" s="823" t="s">
        <v>127</v>
      </c>
      <c r="E28" s="824">
        <v>3018</v>
      </c>
      <c r="F28" s="822">
        <f>PopulationData!E36</f>
        <v>13040.675051861443</v>
      </c>
      <c r="G28" s="822">
        <f>PopulationData!F36</f>
        <v>13096.340840324239</v>
      </c>
      <c r="H28" s="822">
        <f>PopulationData!G36</f>
        <v>10097.603712970735</v>
      </c>
      <c r="I28" s="822">
        <f>PopulationData!H36</f>
        <v>6856.9369057293006</v>
      </c>
      <c r="J28" s="822">
        <f>PopulationData!I36</f>
        <v>4360.0796855069675</v>
      </c>
      <c r="K28" s="822">
        <f>PopulationData!J36</f>
        <v>4277.7493526581002</v>
      </c>
      <c r="L28" s="823">
        <f t="shared" si="6"/>
        <v>51729.385549050792</v>
      </c>
      <c r="M28" s="822">
        <f t="shared" si="7"/>
        <v>15494.765943894368</v>
      </c>
      <c r="N28" s="822">
        <v>1913</v>
      </c>
      <c r="O28" s="822">
        <v>2450</v>
      </c>
      <c r="P28" s="825">
        <f t="shared" si="8"/>
        <v>71587.151492945166</v>
      </c>
      <c r="Q28" s="826">
        <f t="shared" si="9"/>
        <v>29955.369656865099</v>
      </c>
      <c r="R28" s="820"/>
      <c r="S28" s="821"/>
      <c r="T28" s="821"/>
      <c r="U28" s="821"/>
      <c r="V28" s="821"/>
      <c r="W28" s="821"/>
      <c r="X28" s="821"/>
      <c r="Y28" s="821"/>
      <c r="Z28" s="821"/>
      <c r="AA28" s="821"/>
      <c r="AB28" s="821"/>
      <c r="AC28" s="821"/>
      <c r="AD28" s="821"/>
      <c r="AE28" s="821"/>
      <c r="AF28" s="821"/>
      <c r="AG28" s="821"/>
      <c r="AH28" s="821"/>
      <c r="AI28" s="821"/>
      <c r="AJ28" s="821"/>
      <c r="AK28" s="821"/>
      <c r="AL28" s="821"/>
      <c r="AM28" s="821"/>
      <c r="AN28" s="821"/>
      <c r="AO28" s="821"/>
      <c r="AP28" s="821"/>
      <c r="AQ28" s="821"/>
      <c r="AR28" s="821"/>
      <c r="AS28" s="821"/>
      <c r="AT28" s="821"/>
      <c r="AU28" s="821"/>
      <c r="AV28" s="821"/>
      <c r="AW28" s="821"/>
      <c r="AX28" s="821"/>
      <c r="AY28" s="821"/>
      <c r="AZ28" s="821"/>
      <c r="BA28" s="821"/>
      <c r="BB28" s="821"/>
      <c r="BC28" s="821"/>
      <c r="BD28" s="821"/>
      <c r="BE28" s="821"/>
      <c r="BF28" s="821"/>
      <c r="BG28" s="821"/>
      <c r="BH28" s="821"/>
      <c r="BI28" s="821"/>
    </row>
    <row r="29" spans="1:61" s="822" customFormat="1">
      <c r="A29" s="899"/>
      <c r="B29" s="822" t="s">
        <v>70</v>
      </c>
      <c r="C29" s="822" t="s">
        <v>125</v>
      </c>
      <c r="D29" s="823" t="s">
        <v>128</v>
      </c>
      <c r="E29" s="824">
        <v>1781</v>
      </c>
      <c r="F29" s="822">
        <f>PopulationData!E37</f>
        <v>1812.2203444850229</v>
      </c>
      <c r="G29" s="822">
        <f>PopulationData!F37</f>
        <v>1705.1211278920755</v>
      </c>
      <c r="H29" s="822">
        <f>PopulationData!G37</f>
        <v>1368.350460023401</v>
      </c>
      <c r="I29" s="822">
        <f>PopulationData!H37</f>
        <v>875.53643514445821</v>
      </c>
      <c r="J29" s="822">
        <f>PopulationData!I37</f>
        <v>574.13784440539234</v>
      </c>
      <c r="K29" s="822">
        <f>PopulationData!J37</f>
        <v>390.39716827874707</v>
      </c>
      <c r="L29" s="823">
        <f t="shared" si="6"/>
        <v>6725.7633802290975</v>
      </c>
      <c r="M29" s="822">
        <f t="shared" si="7"/>
        <v>1840.0714478285977</v>
      </c>
      <c r="N29" s="822">
        <v>696</v>
      </c>
      <c r="O29" s="822">
        <v>297</v>
      </c>
      <c r="P29" s="825">
        <f t="shared" si="8"/>
        <v>9558.8348280576956</v>
      </c>
      <c r="Q29" s="826">
        <f t="shared" si="9"/>
        <v>4201.4219078519982</v>
      </c>
      <c r="R29" s="820"/>
      <c r="S29" s="821"/>
      <c r="T29" s="821"/>
      <c r="U29" s="821"/>
      <c r="V29" s="821"/>
      <c r="W29" s="821"/>
      <c r="X29" s="821"/>
      <c r="Y29" s="821"/>
      <c r="Z29" s="821"/>
      <c r="AA29" s="821"/>
      <c r="AB29" s="821"/>
      <c r="AC29" s="821"/>
      <c r="AD29" s="821"/>
      <c r="AE29" s="821"/>
      <c r="AF29" s="821"/>
      <c r="AG29" s="821"/>
      <c r="AH29" s="821"/>
      <c r="AI29" s="821"/>
      <c r="AJ29" s="821"/>
      <c r="AK29" s="821"/>
      <c r="AL29" s="821"/>
      <c r="AM29" s="821"/>
      <c r="AN29" s="821"/>
      <c r="AO29" s="821"/>
      <c r="AP29" s="821"/>
      <c r="AQ29" s="821"/>
      <c r="AR29" s="821"/>
      <c r="AS29" s="821"/>
      <c r="AT29" s="821"/>
      <c r="AU29" s="821"/>
      <c r="AV29" s="821"/>
      <c r="AW29" s="821"/>
      <c r="AX29" s="821"/>
      <c r="AY29" s="821"/>
      <c r="AZ29" s="821"/>
      <c r="BA29" s="821"/>
      <c r="BB29" s="821"/>
      <c r="BC29" s="821"/>
      <c r="BD29" s="821"/>
      <c r="BE29" s="821"/>
      <c r="BF29" s="821"/>
      <c r="BG29" s="821"/>
      <c r="BH29" s="821"/>
      <c r="BI29" s="821"/>
    </row>
    <row r="30" spans="1:61" s="822" customFormat="1">
      <c r="A30" s="899"/>
      <c r="B30" s="822" t="s">
        <v>71</v>
      </c>
      <c r="C30" s="822" t="s">
        <v>129</v>
      </c>
      <c r="D30" s="823" t="s">
        <v>130</v>
      </c>
      <c r="E30" s="824">
        <v>5941</v>
      </c>
      <c r="F30" s="822">
        <f>PopulationData!E40</f>
        <v>4999.2440548277918</v>
      </c>
      <c r="G30" s="822">
        <f>PopulationData!F40</f>
        <v>5151.8941647118845</v>
      </c>
      <c r="H30" s="822">
        <f>PopulationData!G40</f>
        <v>4267.3691570816245</v>
      </c>
      <c r="I30" s="822">
        <f>PopulationData!H40</f>
        <v>3054.8092346701446</v>
      </c>
      <c r="J30" s="822">
        <f>PopulationData!I40</f>
        <v>1906.965299825358</v>
      </c>
      <c r="K30" s="822">
        <f>PopulationData!J40</f>
        <v>1592.8880873098119</v>
      </c>
      <c r="L30" s="823">
        <f t="shared" si="6"/>
        <v>20973.169998426616</v>
      </c>
      <c r="M30" s="822">
        <f t="shared" si="7"/>
        <v>6554.6626218053152</v>
      </c>
      <c r="N30" s="822">
        <v>1542</v>
      </c>
      <c r="O30" s="822">
        <v>1368</v>
      </c>
      <c r="P30" s="825">
        <f t="shared" si="8"/>
        <v>30437.832620231929</v>
      </c>
      <c r="Q30" s="826">
        <f t="shared" si="9"/>
        <v>13732.03177888694</v>
      </c>
      <c r="R30" s="820"/>
      <c r="S30" s="821"/>
      <c r="T30" s="821"/>
      <c r="U30" s="821"/>
      <c r="V30" s="821"/>
      <c r="W30" s="821"/>
      <c r="X30" s="821"/>
      <c r="Y30" s="821"/>
      <c r="Z30" s="821"/>
      <c r="AA30" s="821"/>
      <c r="AB30" s="821"/>
      <c r="AC30" s="821"/>
      <c r="AD30" s="821"/>
      <c r="AE30" s="821"/>
      <c r="AF30" s="821"/>
      <c r="AG30" s="821"/>
      <c r="AH30" s="821"/>
      <c r="AI30" s="821"/>
      <c r="AJ30" s="821"/>
      <c r="AK30" s="821"/>
      <c r="AL30" s="821"/>
      <c r="AM30" s="821"/>
      <c r="AN30" s="821"/>
      <c r="AO30" s="821"/>
      <c r="AP30" s="821"/>
      <c r="AQ30" s="821"/>
      <c r="AR30" s="821"/>
      <c r="AS30" s="821"/>
      <c r="AT30" s="821"/>
      <c r="AU30" s="821"/>
      <c r="AV30" s="821"/>
      <c r="AW30" s="821"/>
      <c r="AX30" s="821"/>
      <c r="AY30" s="821"/>
      <c r="AZ30" s="821"/>
      <c r="BA30" s="821"/>
      <c r="BB30" s="821"/>
      <c r="BC30" s="821"/>
      <c r="BD30" s="821"/>
      <c r="BE30" s="821"/>
      <c r="BF30" s="821"/>
      <c r="BG30" s="821"/>
      <c r="BH30" s="821"/>
      <c r="BI30" s="821"/>
    </row>
    <row r="31" spans="1:61" s="822" customFormat="1">
      <c r="A31" s="899"/>
      <c r="B31" s="822" t="s">
        <v>71</v>
      </c>
      <c r="C31" s="822" t="s">
        <v>129</v>
      </c>
      <c r="D31" s="823" t="s">
        <v>131</v>
      </c>
      <c r="E31" s="824">
        <v>8139</v>
      </c>
      <c r="F31" s="822">
        <f>PopulationData!E41</f>
        <v>703.81357981901579</v>
      </c>
      <c r="G31" s="822">
        <f>PopulationData!F41</f>
        <v>732.60083877664647</v>
      </c>
      <c r="H31" s="822">
        <f>PopulationData!G41</f>
        <v>564.0081162903889</v>
      </c>
      <c r="I31" s="822">
        <f>PopulationData!H41</f>
        <v>427.47855777989139</v>
      </c>
      <c r="J31" s="822">
        <f>PopulationData!I41</f>
        <v>250.70943502404845</v>
      </c>
      <c r="K31" s="822">
        <f>PopulationData!J41</f>
        <v>200.01691641974418</v>
      </c>
      <c r="L31" s="823">
        <f t="shared" si="6"/>
        <v>2878.6274441097353</v>
      </c>
      <c r="M31" s="822">
        <f t="shared" si="7"/>
        <v>878.2049092236839</v>
      </c>
      <c r="N31" s="822">
        <v>142</v>
      </c>
      <c r="O31" s="822">
        <v>254</v>
      </c>
      <c r="P31" s="825">
        <f t="shared" si="8"/>
        <v>4152.8323533334187</v>
      </c>
      <c r="Q31" s="826">
        <f t="shared" si="9"/>
        <v>1838.2130255140728</v>
      </c>
      <c r="R31" s="820"/>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821"/>
      <c r="AZ31" s="821"/>
      <c r="BA31" s="821"/>
      <c r="BB31" s="821"/>
      <c r="BC31" s="821"/>
      <c r="BD31" s="821"/>
      <c r="BE31" s="821"/>
      <c r="BF31" s="821"/>
      <c r="BG31" s="821"/>
      <c r="BH31" s="821"/>
      <c r="BI31" s="821"/>
    </row>
    <row r="32" spans="1:61" s="822" customFormat="1">
      <c r="A32" s="899"/>
      <c r="B32" s="822" t="s">
        <v>69</v>
      </c>
      <c r="C32" s="822" t="s">
        <v>119</v>
      </c>
      <c r="D32" s="823" t="s">
        <v>120</v>
      </c>
      <c r="E32" s="824">
        <v>1205</v>
      </c>
      <c r="F32" s="822">
        <f>PopulationData!E46</f>
        <v>217.44804302751902</v>
      </c>
      <c r="G32" s="822">
        <f>PopulationData!F46</f>
        <v>206.31332495925864</v>
      </c>
      <c r="H32" s="822">
        <f>PopulationData!G46</f>
        <v>152.56783337307314</v>
      </c>
      <c r="I32" s="822">
        <f>PopulationData!H46</f>
        <v>101.92575989993452</v>
      </c>
      <c r="J32" s="822">
        <f>PopulationData!I46</f>
        <v>66.674037003946452</v>
      </c>
      <c r="K32" s="822">
        <f>PopulationData!J46</f>
        <v>81.606274351716479</v>
      </c>
      <c r="L32" s="823">
        <f t="shared" si="6"/>
        <v>826.53527261544821</v>
      </c>
      <c r="M32" s="822">
        <f t="shared" si="7"/>
        <v>250.20607125559746</v>
      </c>
      <c r="N32" s="822">
        <v>34</v>
      </c>
      <c r="O32" s="822">
        <v>29</v>
      </c>
      <c r="P32" s="825">
        <f t="shared" si="8"/>
        <v>1139.7413438710457</v>
      </c>
      <c r="Q32" s="826">
        <f t="shared" si="9"/>
        <v>465.77390462867061</v>
      </c>
      <c r="R32" s="820"/>
      <c r="S32" s="821"/>
      <c r="T32" s="821"/>
      <c r="U32" s="821"/>
      <c r="V32" s="821"/>
      <c r="W32" s="821"/>
      <c r="X32" s="821"/>
      <c r="Y32" s="821"/>
      <c r="Z32" s="821"/>
      <c r="AA32" s="821"/>
      <c r="AB32" s="821"/>
      <c r="AC32" s="821"/>
      <c r="AD32" s="821"/>
      <c r="AE32" s="821"/>
      <c r="AF32" s="821"/>
      <c r="AG32" s="821"/>
      <c r="AH32" s="821"/>
      <c r="AI32" s="821"/>
      <c r="AJ32" s="821"/>
      <c r="AK32" s="821"/>
      <c r="AL32" s="821"/>
      <c r="AM32" s="821"/>
      <c r="AN32" s="821"/>
      <c r="AO32" s="821"/>
      <c r="AP32" s="821"/>
      <c r="AQ32" s="821"/>
      <c r="AR32" s="821"/>
      <c r="AS32" s="821"/>
      <c r="AT32" s="821"/>
      <c r="AU32" s="821"/>
      <c r="AV32" s="821"/>
      <c r="AW32" s="821"/>
      <c r="AX32" s="821"/>
      <c r="AY32" s="821"/>
      <c r="AZ32" s="821"/>
      <c r="BA32" s="821"/>
      <c r="BB32" s="821"/>
      <c r="BC32" s="821"/>
      <c r="BD32" s="821"/>
      <c r="BE32" s="821"/>
      <c r="BF32" s="821"/>
      <c r="BG32" s="821"/>
      <c r="BH32" s="821"/>
      <c r="BI32" s="821"/>
    </row>
    <row r="33" spans="1:61" s="822" customFormat="1">
      <c r="A33" s="899"/>
      <c r="B33" s="822" t="s">
        <v>69</v>
      </c>
      <c r="C33" s="822" t="s">
        <v>119</v>
      </c>
      <c r="D33" s="823" t="s">
        <v>121</v>
      </c>
      <c r="E33" s="824">
        <v>522</v>
      </c>
      <c r="F33" s="822">
        <f>PopulationData!E47</f>
        <v>1747.6983737430312</v>
      </c>
      <c r="G33" s="822">
        <f>PopulationData!F47</f>
        <v>1465.3140813572104</v>
      </c>
      <c r="H33" s="822">
        <f>PopulationData!G47</f>
        <v>996.06266209808746</v>
      </c>
      <c r="I33" s="822">
        <f>PopulationData!H47</f>
        <v>695.36592803564281</v>
      </c>
      <c r="J33" s="822">
        <f>PopulationData!I47</f>
        <v>430.06332335954073</v>
      </c>
      <c r="K33" s="822">
        <f>PopulationData!J47</f>
        <v>563.41462735475932</v>
      </c>
      <c r="L33" s="823">
        <f t="shared" si="6"/>
        <v>5897.9189959482728</v>
      </c>
      <c r="M33" s="822">
        <f t="shared" si="7"/>
        <v>1688.8438787499431</v>
      </c>
      <c r="N33" s="822">
        <v>570</v>
      </c>
      <c r="O33" s="822">
        <v>163</v>
      </c>
      <c r="P33" s="825">
        <f t="shared" si="8"/>
        <v>8319.7628746982155</v>
      </c>
      <c r="Q33" s="826">
        <f t="shared" si="9"/>
        <v>3417.9065408480305</v>
      </c>
      <c r="R33" s="820"/>
      <c r="S33" s="821"/>
      <c r="T33" s="821"/>
      <c r="U33" s="821"/>
      <c r="V33" s="821"/>
      <c r="W33" s="821"/>
      <c r="X33" s="821"/>
      <c r="Y33" s="821"/>
      <c r="Z33" s="821"/>
      <c r="AA33" s="821"/>
      <c r="AB33" s="821"/>
      <c r="AC33" s="821"/>
      <c r="AD33" s="821"/>
      <c r="AE33" s="821"/>
      <c r="AF33" s="821"/>
      <c r="AG33" s="821"/>
      <c r="AH33" s="821"/>
      <c r="AI33" s="821"/>
      <c r="AJ33" s="821"/>
      <c r="AK33" s="821"/>
      <c r="AL33" s="821"/>
      <c r="AM33" s="821"/>
      <c r="AN33" s="821"/>
      <c r="AO33" s="821"/>
      <c r="AP33" s="821"/>
      <c r="AQ33" s="821"/>
      <c r="AR33" s="821"/>
      <c r="AS33" s="821"/>
      <c r="AT33" s="821"/>
      <c r="AU33" s="821"/>
      <c r="AV33" s="821"/>
      <c r="AW33" s="821"/>
      <c r="AX33" s="821"/>
      <c r="AY33" s="821"/>
      <c r="AZ33" s="821"/>
      <c r="BA33" s="821"/>
      <c r="BB33" s="821"/>
      <c r="BC33" s="821"/>
      <c r="BD33" s="821"/>
      <c r="BE33" s="821"/>
      <c r="BF33" s="821"/>
      <c r="BG33" s="821"/>
      <c r="BH33" s="821"/>
      <c r="BI33" s="821"/>
    </row>
    <row r="34" spans="1:61" s="822" customFormat="1">
      <c r="A34" s="899"/>
      <c r="B34" s="822" t="s">
        <v>69</v>
      </c>
      <c r="C34" s="822" t="s">
        <v>119</v>
      </c>
      <c r="D34" s="823" t="s">
        <v>122</v>
      </c>
      <c r="E34" s="824">
        <v>824</v>
      </c>
      <c r="F34" s="822">
        <f>PopulationData!E48</f>
        <v>168.42499025912539</v>
      </c>
      <c r="G34" s="822">
        <f>PopulationData!F48</f>
        <v>148.92935180539433</v>
      </c>
      <c r="H34" s="822">
        <f>PopulationData!G48</f>
        <v>136.25057233859508</v>
      </c>
      <c r="I34" s="822">
        <f>PopulationData!H48</f>
        <v>102.9141641011159</v>
      </c>
      <c r="J34" s="822">
        <f>PopulationData!I48</f>
        <v>55.535686907041423</v>
      </c>
      <c r="K34" s="822">
        <f>PopulationData!J48</f>
        <v>50.280864139209626</v>
      </c>
      <c r="L34" s="823">
        <f t="shared" si="6"/>
        <v>662.33562955048171</v>
      </c>
      <c r="M34" s="822">
        <f t="shared" si="7"/>
        <v>208.73071514736696</v>
      </c>
      <c r="N34" s="822">
        <v>30</v>
      </c>
      <c r="O34" s="822">
        <v>17</v>
      </c>
      <c r="P34" s="825">
        <f t="shared" si="8"/>
        <v>918.06634469784865</v>
      </c>
      <c r="Q34" s="826">
        <f t="shared" si="9"/>
        <v>391.98128748596196</v>
      </c>
      <c r="R34" s="820"/>
      <c r="S34" s="821"/>
      <c r="T34" s="821"/>
      <c r="U34" s="821"/>
      <c r="V34" s="821"/>
      <c r="W34" s="821"/>
      <c r="X34" s="821"/>
      <c r="Y34" s="821"/>
      <c r="Z34" s="821"/>
      <c r="AA34" s="821"/>
      <c r="AB34" s="821"/>
      <c r="AC34" s="821"/>
      <c r="AD34" s="821"/>
      <c r="AE34" s="821"/>
      <c r="AF34" s="821"/>
      <c r="AG34" s="821"/>
      <c r="AH34" s="821"/>
      <c r="AI34" s="821"/>
      <c r="AJ34" s="821"/>
      <c r="AK34" s="821"/>
      <c r="AL34" s="821"/>
      <c r="AM34" s="821"/>
      <c r="AN34" s="821"/>
      <c r="AO34" s="821"/>
      <c r="AP34" s="821"/>
      <c r="AQ34" s="821"/>
      <c r="AR34" s="821"/>
      <c r="AS34" s="821"/>
      <c r="AT34" s="821"/>
      <c r="AU34" s="821"/>
      <c r="AV34" s="821"/>
      <c r="AW34" s="821"/>
      <c r="AX34" s="821"/>
      <c r="AY34" s="821"/>
      <c r="AZ34" s="821"/>
      <c r="BA34" s="821"/>
      <c r="BB34" s="821"/>
      <c r="BC34" s="821"/>
      <c r="BD34" s="821"/>
      <c r="BE34" s="821"/>
      <c r="BF34" s="821"/>
      <c r="BG34" s="821"/>
      <c r="BH34" s="821"/>
      <c r="BI34" s="821"/>
    </row>
    <row r="35" spans="1:61" s="822" customFormat="1">
      <c r="A35" s="899"/>
      <c r="B35" s="822" t="s">
        <v>69</v>
      </c>
      <c r="C35" s="822" t="s">
        <v>119</v>
      </c>
      <c r="D35" s="823" t="s">
        <v>123</v>
      </c>
      <c r="E35" s="824">
        <v>2382</v>
      </c>
      <c r="F35" s="822">
        <f>PopulationData!E49</f>
        <v>2045.5139594129405</v>
      </c>
      <c r="G35" s="822">
        <f>PopulationData!F49</f>
        <v>1946.2122571948435</v>
      </c>
      <c r="H35" s="822">
        <f>PopulationData!G49</f>
        <v>1618.5158460279997</v>
      </c>
      <c r="I35" s="822">
        <f>PopulationData!H49</f>
        <v>1078.1917671770793</v>
      </c>
      <c r="J35" s="822">
        <f>PopulationData!I49</f>
        <v>688.88813048994291</v>
      </c>
      <c r="K35" s="822">
        <f>PopulationData!J49</f>
        <v>814.80176332553935</v>
      </c>
      <c r="L35" s="823">
        <f t="shared" si="6"/>
        <v>8192.123723628345</v>
      </c>
      <c r="M35" s="822">
        <f t="shared" si="7"/>
        <v>2581.8816609925616</v>
      </c>
      <c r="N35" s="822">
        <v>526</v>
      </c>
      <c r="O35" s="822">
        <v>297</v>
      </c>
      <c r="P35" s="825">
        <f t="shared" si="8"/>
        <v>11597.005384620907</v>
      </c>
      <c r="Q35" s="826">
        <f t="shared" si="9"/>
        <v>5023.3975070205606</v>
      </c>
      <c r="R35" s="820"/>
      <c r="S35" s="821"/>
      <c r="T35" s="821"/>
      <c r="U35" s="821"/>
      <c r="V35" s="821"/>
      <c r="W35" s="821"/>
      <c r="X35" s="821"/>
      <c r="Y35" s="821"/>
      <c r="Z35" s="821"/>
      <c r="AA35" s="821"/>
      <c r="AB35" s="821"/>
      <c r="AC35" s="821"/>
      <c r="AD35" s="821"/>
      <c r="AE35" s="821"/>
      <c r="AF35" s="821"/>
      <c r="AG35" s="821"/>
      <c r="AH35" s="821"/>
      <c r="AI35" s="821"/>
      <c r="AJ35" s="821"/>
      <c r="AK35" s="821"/>
      <c r="AL35" s="821"/>
      <c r="AM35" s="821"/>
      <c r="AN35" s="821"/>
      <c r="AO35" s="821"/>
      <c r="AP35" s="821"/>
      <c r="AQ35" s="821"/>
      <c r="AR35" s="821"/>
      <c r="AS35" s="821"/>
      <c r="AT35" s="821"/>
      <c r="AU35" s="821"/>
      <c r="AV35" s="821"/>
      <c r="AW35" s="821"/>
      <c r="AX35" s="821"/>
      <c r="AY35" s="821"/>
      <c r="AZ35" s="821"/>
      <c r="BA35" s="821"/>
      <c r="BB35" s="821"/>
      <c r="BC35" s="821"/>
      <c r="BD35" s="821"/>
      <c r="BE35" s="821"/>
      <c r="BF35" s="821"/>
      <c r="BG35" s="821"/>
      <c r="BH35" s="821"/>
      <c r="BI35" s="821"/>
    </row>
    <row r="36" spans="1:61" s="822" customFormat="1">
      <c r="A36" s="899"/>
      <c r="B36" s="822" t="s">
        <v>69</v>
      </c>
      <c r="C36" s="822" t="s">
        <v>119</v>
      </c>
      <c r="D36" s="823" t="s">
        <v>124</v>
      </c>
      <c r="E36" s="824">
        <v>1715</v>
      </c>
      <c r="F36" s="822">
        <f>PopulationData!E50</f>
        <v>123.06951567057271</v>
      </c>
      <c r="G36" s="822">
        <f>PopulationData!F50</f>
        <v>141.39034010263401</v>
      </c>
      <c r="H36" s="822">
        <f>PopulationData!G50</f>
        <v>110.6284515269147</v>
      </c>
      <c r="I36" s="822">
        <f>PopulationData!H50</f>
        <v>114.64554046621545</v>
      </c>
      <c r="J36" s="822">
        <f>PopulationData!I50</f>
        <v>66.72924216567111</v>
      </c>
      <c r="K36" s="822">
        <f>PopulationData!J50</f>
        <v>55.908982315245041</v>
      </c>
      <c r="L36" s="823">
        <f t="shared" si="6"/>
        <v>612.37207224725296</v>
      </c>
      <c r="M36" s="822">
        <f t="shared" si="7"/>
        <v>237.2837649471316</v>
      </c>
      <c r="N36" s="822">
        <v>29</v>
      </c>
      <c r="O36" s="822">
        <v>71</v>
      </c>
      <c r="P36" s="825">
        <f t="shared" si="8"/>
        <v>949.6558371943845</v>
      </c>
      <c r="Q36" s="826">
        <f t="shared" si="9"/>
        <v>447.91221647404632</v>
      </c>
      <c r="R36" s="820"/>
      <c r="S36" s="821"/>
      <c r="T36" s="821"/>
      <c r="U36" s="821"/>
      <c r="V36" s="821"/>
      <c r="W36" s="821"/>
      <c r="X36" s="821"/>
      <c r="Y36" s="821"/>
      <c r="Z36" s="821"/>
      <c r="AA36" s="821"/>
      <c r="AB36" s="821"/>
      <c r="AC36" s="821"/>
      <c r="AD36" s="821"/>
      <c r="AE36" s="821"/>
      <c r="AF36" s="821"/>
      <c r="AG36" s="821"/>
      <c r="AH36" s="821"/>
      <c r="AI36" s="821"/>
      <c r="AJ36" s="821"/>
      <c r="AK36" s="821"/>
      <c r="AL36" s="821"/>
      <c r="AM36" s="821"/>
      <c r="AN36" s="821"/>
      <c r="AO36" s="821"/>
      <c r="AP36" s="821"/>
      <c r="AQ36" s="821"/>
      <c r="AR36" s="821"/>
      <c r="AS36" s="821"/>
      <c r="AT36" s="821"/>
      <c r="AU36" s="821"/>
      <c r="AV36" s="821"/>
      <c r="AW36" s="821"/>
      <c r="AX36" s="821"/>
      <c r="AY36" s="821"/>
      <c r="AZ36" s="821"/>
      <c r="BA36" s="821"/>
      <c r="BB36" s="821"/>
      <c r="BC36" s="821"/>
      <c r="BD36" s="821"/>
      <c r="BE36" s="821"/>
      <c r="BF36" s="821"/>
      <c r="BG36" s="821"/>
      <c r="BH36" s="821"/>
      <c r="BI36" s="821"/>
    </row>
    <row r="37" spans="1:61" s="822" customFormat="1">
      <c r="A37" s="899"/>
      <c r="B37" s="829"/>
      <c r="C37" s="830"/>
      <c r="D37" s="831" t="s">
        <v>182</v>
      </c>
      <c r="E37" s="834">
        <f t="shared" ref="E37:Q37" si="10">SUM(E27:E36)</f>
        <v>28506</v>
      </c>
      <c r="F37" s="833">
        <f t="shared" si="10"/>
        <v>26836.040827967448</v>
      </c>
      <c r="G37" s="833">
        <f t="shared" si="10"/>
        <v>26798.999772970335</v>
      </c>
      <c r="H37" s="833">
        <f t="shared" si="10"/>
        <v>21117.87133605195</v>
      </c>
      <c r="I37" s="833">
        <f t="shared" si="10"/>
        <v>14604.793691103223</v>
      </c>
      <c r="J37" s="833">
        <f t="shared" si="10"/>
        <v>9193.813520873673</v>
      </c>
      <c r="K37" s="833">
        <f t="shared" si="10"/>
        <v>8719.8896232780371</v>
      </c>
      <c r="L37" s="833">
        <f t="shared" si="10"/>
        <v>107271.4087722447</v>
      </c>
      <c r="M37" s="833">
        <f t="shared" si="10"/>
        <v>32518.496835254948</v>
      </c>
      <c r="N37" s="833">
        <f t="shared" si="10"/>
        <v>5819</v>
      </c>
      <c r="O37" s="833">
        <f t="shared" si="10"/>
        <v>5187</v>
      </c>
      <c r="P37" s="834">
        <f t="shared" si="10"/>
        <v>150795.90560749965</v>
      </c>
      <c r="Q37" s="835">
        <f t="shared" si="10"/>
        <v>64642.368171306887</v>
      </c>
      <c r="R37" s="820"/>
      <c r="S37" s="821"/>
      <c r="T37" s="821"/>
      <c r="U37" s="821"/>
      <c r="V37" s="821"/>
      <c r="W37" s="821"/>
      <c r="X37" s="821"/>
      <c r="Y37" s="821"/>
      <c r="Z37" s="821"/>
      <c r="AA37" s="821"/>
      <c r="AB37" s="821"/>
      <c r="AC37" s="821"/>
      <c r="AD37" s="821"/>
      <c r="AE37" s="821"/>
      <c r="AF37" s="821"/>
      <c r="AG37" s="821"/>
      <c r="AH37" s="821"/>
      <c r="AI37" s="821"/>
      <c r="AJ37" s="821"/>
      <c r="AK37" s="821"/>
      <c r="AL37" s="821"/>
      <c r="AM37" s="821"/>
      <c r="AN37" s="821"/>
      <c r="AO37" s="821"/>
      <c r="AP37" s="821"/>
      <c r="AQ37" s="821"/>
      <c r="AR37" s="821"/>
      <c r="AS37" s="821"/>
      <c r="AT37" s="821"/>
      <c r="AU37" s="821"/>
      <c r="AV37" s="821"/>
      <c r="AW37" s="821"/>
      <c r="AX37" s="821"/>
      <c r="AY37" s="821"/>
      <c r="AZ37" s="821"/>
      <c r="BA37" s="821"/>
      <c r="BB37" s="821"/>
      <c r="BC37" s="821"/>
      <c r="BD37" s="821"/>
      <c r="BE37" s="821"/>
      <c r="BF37" s="821"/>
      <c r="BG37" s="821"/>
      <c r="BH37" s="821"/>
      <c r="BI37" s="821"/>
    </row>
    <row r="38" spans="1:61" s="822" customFormat="1" ht="6.2" customHeight="1">
      <c r="A38" s="852"/>
      <c r="B38" s="853"/>
      <c r="C38" s="853"/>
      <c r="D38" s="854"/>
      <c r="E38" s="855"/>
      <c r="F38" s="853"/>
      <c r="G38" s="853"/>
      <c r="H38" s="853"/>
      <c r="I38" s="853"/>
      <c r="J38" s="853"/>
      <c r="K38" s="853"/>
      <c r="L38" s="854"/>
      <c r="M38" s="853"/>
      <c r="N38" s="853"/>
      <c r="O38" s="853"/>
      <c r="P38" s="856"/>
      <c r="Q38" s="853"/>
      <c r="R38" s="820"/>
      <c r="S38" s="821"/>
      <c r="T38" s="821"/>
      <c r="U38" s="821"/>
      <c r="V38" s="821"/>
      <c r="W38" s="821"/>
      <c r="X38" s="821"/>
      <c r="Y38" s="821"/>
      <c r="Z38" s="821"/>
      <c r="AA38" s="821"/>
      <c r="AB38" s="821"/>
      <c r="AC38" s="821"/>
      <c r="AD38" s="821"/>
      <c r="AE38" s="821"/>
      <c r="AF38" s="821"/>
      <c r="AG38" s="821"/>
      <c r="AH38" s="821"/>
      <c r="AI38" s="821"/>
      <c r="AJ38" s="821"/>
      <c r="AK38" s="821"/>
      <c r="AL38" s="821"/>
      <c r="AM38" s="821"/>
      <c r="AN38" s="821"/>
      <c r="AO38" s="821"/>
      <c r="AP38" s="821"/>
      <c r="AQ38" s="821"/>
      <c r="AR38" s="821"/>
      <c r="AS38" s="821"/>
      <c r="AT38" s="821"/>
      <c r="AU38" s="821"/>
      <c r="AV38" s="821"/>
      <c r="AW38" s="821"/>
      <c r="AX38" s="821"/>
      <c r="AY38" s="821"/>
      <c r="AZ38" s="821"/>
      <c r="BA38" s="821"/>
      <c r="BB38" s="821"/>
      <c r="BC38" s="821"/>
      <c r="BD38" s="821"/>
      <c r="BE38" s="821"/>
      <c r="BF38" s="821"/>
      <c r="BG38" s="821"/>
      <c r="BH38" s="821"/>
      <c r="BI38" s="821"/>
    </row>
    <row r="39" spans="1:61" s="822" customFormat="1">
      <c r="A39" s="900" t="s">
        <v>187</v>
      </c>
      <c r="B39" s="822" t="s">
        <v>67</v>
      </c>
      <c r="C39" s="822" t="s">
        <v>114</v>
      </c>
      <c r="D39" s="823" t="s">
        <v>114</v>
      </c>
      <c r="E39" s="824">
        <v>1595</v>
      </c>
      <c r="F39" s="822">
        <f>PopulationData!E27</f>
        <v>5114.8598104932898</v>
      </c>
      <c r="G39" s="822">
        <f>PopulationData!F27</f>
        <v>5371.3911091219452</v>
      </c>
      <c r="H39" s="822">
        <f>PopulationData!G27</f>
        <v>4557.0612025032115</v>
      </c>
      <c r="I39" s="822">
        <f>PopulationData!H27</f>
        <v>3363.9994621039914</v>
      </c>
      <c r="J39" s="822">
        <f>PopulationData!I27</f>
        <v>2175.8107179856215</v>
      </c>
      <c r="K39" s="822">
        <f>PopulationData!J27</f>
        <v>1858.4201415919458</v>
      </c>
      <c r="L39" s="823">
        <f t="shared" ref="L39:L53" si="11">SUM(F39:K39)</f>
        <v>22441.542443800005</v>
      </c>
      <c r="M39" s="822">
        <f t="shared" ref="M39:M53" si="12">SUM(I39:K39)</f>
        <v>7398.230321681559</v>
      </c>
      <c r="N39" s="822">
        <v>1384</v>
      </c>
      <c r="O39" s="822">
        <v>1626</v>
      </c>
      <c r="P39" s="825">
        <f t="shared" ref="P39:P53" si="13">SUM(L39:O39)</f>
        <v>32849.772765481568</v>
      </c>
      <c r="Q39" s="826">
        <f t="shared" ref="Q39:Q53" si="14">SUM(H39:K39)+N39+O39</f>
        <v>14965.29152418477</v>
      </c>
      <c r="R39" s="820"/>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821"/>
      <c r="AU39" s="821"/>
      <c r="AV39" s="821"/>
      <c r="AW39" s="821"/>
      <c r="AX39" s="821"/>
      <c r="AY39" s="821"/>
      <c r="AZ39" s="821"/>
      <c r="BA39" s="821"/>
      <c r="BB39" s="821"/>
      <c r="BC39" s="821"/>
      <c r="BD39" s="821"/>
      <c r="BE39" s="821"/>
      <c r="BF39" s="821"/>
      <c r="BG39" s="821"/>
      <c r="BH39" s="821"/>
      <c r="BI39" s="821"/>
    </row>
    <row r="40" spans="1:61" s="822" customFormat="1">
      <c r="A40" s="901"/>
      <c r="B40" s="822" t="s">
        <v>67</v>
      </c>
      <c r="C40" s="822" t="s">
        <v>114</v>
      </c>
      <c r="D40" s="823" t="s">
        <v>115</v>
      </c>
      <c r="E40" s="824">
        <v>1627</v>
      </c>
      <c r="F40" s="822">
        <f>PopulationData!E28</f>
        <v>2358.3142561362342</v>
      </c>
      <c r="G40" s="822">
        <f>PopulationData!F28</f>
        <v>2667.8772355313713</v>
      </c>
      <c r="H40" s="822">
        <f>PopulationData!G28</f>
        <v>2192.5426838380458</v>
      </c>
      <c r="I40" s="822">
        <f>PopulationData!H28</f>
        <v>1503.978068425622</v>
      </c>
      <c r="J40" s="822">
        <f>PopulationData!I28</f>
        <v>914.17564975109474</v>
      </c>
      <c r="K40" s="822">
        <f>PopulationData!J28</f>
        <v>793.57640164444626</v>
      </c>
      <c r="L40" s="823">
        <f t="shared" si="11"/>
        <v>10430.464295326814</v>
      </c>
      <c r="M40" s="822">
        <f t="shared" si="12"/>
        <v>3211.730119821163</v>
      </c>
      <c r="N40" s="822">
        <v>607</v>
      </c>
      <c r="O40" s="822">
        <v>651</v>
      </c>
      <c r="P40" s="825">
        <f t="shared" si="13"/>
        <v>14900.194415147977</v>
      </c>
      <c r="Q40" s="826">
        <f t="shared" si="14"/>
        <v>6662.2728036592089</v>
      </c>
      <c r="R40" s="820"/>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c r="AX40" s="821"/>
      <c r="AY40" s="821"/>
      <c r="AZ40" s="821"/>
      <c r="BA40" s="821"/>
      <c r="BB40" s="821"/>
      <c r="BC40" s="821"/>
      <c r="BD40" s="821"/>
      <c r="BE40" s="821"/>
      <c r="BF40" s="821"/>
      <c r="BG40" s="821"/>
      <c r="BH40" s="821"/>
      <c r="BI40" s="821"/>
    </row>
    <row r="41" spans="1:61" s="822" customFormat="1">
      <c r="A41" s="901"/>
      <c r="B41" s="829"/>
      <c r="C41" s="830"/>
      <c r="D41" s="831" t="s">
        <v>182</v>
      </c>
      <c r="E41" s="834">
        <f>SUM(E39:E40)</f>
        <v>3222</v>
      </c>
      <c r="F41" s="833">
        <f>SUM(F39:F40)</f>
        <v>7473.1740666295245</v>
      </c>
      <c r="G41" s="833">
        <f t="shared" ref="G41:O41" si="15">SUM(G39:G40)</f>
        <v>8039.2683446533165</v>
      </c>
      <c r="H41" s="833">
        <f t="shared" si="15"/>
        <v>6749.6038863412577</v>
      </c>
      <c r="I41" s="833">
        <f t="shared" si="15"/>
        <v>4867.9775305296134</v>
      </c>
      <c r="J41" s="833">
        <f t="shared" si="15"/>
        <v>3089.9863677367161</v>
      </c>
      <c r="K41" s="833">
        <f t="shared" si="15"/>
        <v>2651.996543236392</v>
      </c>
      <c r="L41" s="833">
        <f t="shared" si="15"/>
        <v>32872.006739126817</v>
      </c>
      <c r="M41" s="833">
        <f t="shared" si="15"/>
        <v>10609.960441502722</v>
      </c>
      <c r="N41" s="833">
        <f t="shared" si="15"/>
        <v>1991</v>
      </c>
      <c r="O41" s="833">
        <f t="shared" si="15"/>
        <v>2277</v>
      </c>
      <c r="P41" s="834">
        <f>SUM(P39:P40)</f>
        <v>47749.967180629545</v>
      </c>
      <c r="Q41" s="835">
        <f>SUM(Q39:Q40)</f>
        <v>21627.564327843978</v>
      </c>
      <c r="R41" s="820"/>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1"/>
      <c r="AS41" s="821"/>
      <c r="AT41" s="821"/>
      <c r="AU41" s="821"/>
      <c r="AV41" s="821"/>
      <c r="AW41" s="821"/>
      <c r="AX41" s="821"/>
      <c r="AY41" s="821"/>
      <c r="AZ41" s="821"/>
      <c r="BA41" s="821"/>
      <c r="BB41" s="821"/>
      <c r="BC41" s="821"/>
      <c r="BD41" s="821"/>
      <c r="BE41" s="821"/>
      <c r="BF41" s="821"/>
      <c r="BG41" s="821"/>
      <c r="BH41" s="821"/>
      <c r="BI41" s="821"/>
    </row>
    <row r="42" spans="1:61" ht="6.2" customHeight="1">
      <c r="A42" s="857"/>
      <c r="E42" s="845"/>
      <c r="P42" s="845"/>
      <c r="Q42" s="821"/>
      <c r="R42" s="820"/>
      <c r="S42" s="821"/>
      <c r="T42" s="821"/>
      <c r="U42" s="821"/>
      <c r="V42" s="821"/>
      <c r="W42" s="821"/>
      <c r="X42" s="821"/>
      <c r="Y42" s="821"/>
      <c r="Z42" s="821"/>
      <c r="AA42" s="821"/>
      <c r="AB42" s="821"/>
      <c r="AC42" s="821"/>
      <c r="AD42" s="821"/>
      <c r="AE42" s="821"/>
      <c r="AF42" s="821"/>
      <c r="AG42" s="821"/>
      <c r="AH42" s="821"/>
      <c r="AI42" s="821"/>
      <c r="AJ42" s="821"/>
      <c r="AK42" s="821"/>
      <c r="AL42" s="821"/>
      <c r="AM42" s="821"/>
      <c r="AN42" s="821"/>
      <c r="AO42" s="821"/>
      <c r="AP42" s="821"/>
      <c r="AQ42" s="821"/>
      <c r="AR42" s="821"/>
      <c r="AS42" s="821"/>
      <c r="AT42" s="821"/>
      <c r="AU42" s="821"/>
      <c r="AV42" s="821"/>
      <c r="AW42" s="821"/>
      <c r="AX42" s="821"/>
      <c r="AY42" s="821"/>
      <c r="AZ42" s="821"/>
      <c r="BA42" s="821"/>
      <c r="BB42" s="821"/>
      <c r="BC42" s="821"/>
      <c r="BD42" s="821"/>
      <c r="BE42" s="821"/>
      <c r="BF42" s="821"/>
      <c r="BG42" s="821"/>
      <c r="BH42" s="821"/>
      <c r="BI42" s="821"/>
    </row>
    <row r="43" spans="1:61" s="822" customFormat="1" ht="21.75" customHeight="1">
      <c r="A43" s="902" t="s">
        <v>113</v>
      </c>
      <c r="B43" s="822" t="s">
        <v>66</v>
      </c>
      <c r="C43" s="822" t="s">
        <v>112</v>
      </c>
      <c r="D43" s="823" t="s">
        <v>113</v>
      </c>
      <c r="E43" s="824">
        <v>5036</v>
      </c>
      <c r="F43" s="822">
        <f>PopulationData!E25</f>
        <v>8960.3767588823212</v>
      </c>
      <c r="G43" s="822">
        <f>PopulationData!F25</f>
        <v>9331.2725299225276</v>
      </c>
      <c r="H43" s="822">
        <f>PopulationData!G25</f>
        <v>8092.6742957485712</v>
      </c>
      <c r="I43" s="822">
        <f>PopulationData!H25</f>
        <v>6043.9698516325443</v>
      </c>
      <c r="J43" s="822">
        <f>PopulationData!I25</f>
        <v>4014.5441015233218</v>
      </c>
      <c r="K43" s="822">
        <f>PopulationData!J25</f>
        <v>3936.3035868458819</v>
      </c>
      <c r="L43" s="823">
        <f>SUM(F43:K43)</f>
        <v>40379.141124555172</v>
      </c>
      <c r="M43" s="822">
        <f>SUM(I43:K43)</f>
        <v>13994.81754000175</v>
      </c>
      <c r="N43" s="822">
        <v>1967</v>
      </c>
      <c r="O43" s="822">
        <v>2113</v>
      </c>
      <c r="P43" s="825">
        <f>SUM(L43:O43)</f>
        <v>58453.958664556922</v>
      </c>
      <c r="Q43" s="826">
        <f>SUM(H43:K43)+N43+O43</f>
        <v>26167.491835750319</v>
      </c>
      <c r="R43" s="820"/>
      <c r="S43" s="821"/>
      <c r="T43" s="821"/>
      <c r="U43" s="821"/>
      <c r="V43" s="821"/>
      <c r="W43" s="821"/>
      <c r="X43" s="821"/>
      <c r="Y43" s="821"/>
      <c r="Z43" s="821"/>
      <c r="AA43" s="821"/>
      <c r="AB43" s="821"/>
      <c r="AC43" s="821"/>
      <c r="AD43" s="821"/>
      <c r="AE43" s="821"/>
      <c r="AF43" s="821"/>
      <c r="AG43" s="821"/>
      <c r="AH43" s="821"/>
      <c r="AI43" s="821"/>
      <c r="AJ43" s="821"/>
      <c r="AK43" s="821"/>
      <c r="AL43" s="821"/>
      <c r="AM43" s="821"/>
      <c r="AN43" s="821"/>
      <c r="AO43" s="821"/>
      <c r="AP43" s="821"/>
      <c r="AQ43" s="821"/>
      <c r="AR43" s="821"/>
      <c r="AS43" s="821"/>
      <c r="AT43" s="821"/>
      <c r="AU43" s="821"/>
      <c r="AV43" s="821"/>
      <c r="AW43" s="821"/>
      <c r="AX43" s="821"/>
      <c r="AY43" s="821"/>
      <c r="AZ43" s="821"/>
      <c r="BA43" s="821"/>
      <c r="BB43" s="821"/>
      <c r="BC43" s="821"/>
      <c r="BD43" s="821"/>
      <c r="BE43" s="821"/>
      <c r="BF43" s="821"/>
      <c r="BG43" s="821"/>
      <c r="BH43" s="821"/>
      <c r="BI43" s="821"/>
    </row>
    <row r="44" spans="1:61" s="821" customFormat="1" ht="15" customHeight="1">
      <c r="A44" s="903"/>
      <c r="B44" s="829"/>
      <c r="C44" s="830"/>
      <c r="D44" s="831" t="s">
        <v>182</v>
      </c>
      <c r="E44" s="858">
        <f>SUM(E43)</f>
        <v>5036</v>
      </c>
      <c r="F44" s="859">
        <f>SUM(F43)</f>
        <v>8960.3767588823212</v>
      </c>
      <c r="G44" s="859">
        <f t="shared" ref="G44:O44" si="16">SUM(G43)</f>
        <v>9331.2725299225276</v>
      </c>
      <c r="H44" s="859">
        <f t="shared" si="16"/>
        <v>8092.6742957485712</v>
      </c>
      <c r="I44" s="859">
        <f t="shared" si="16"/>
        <v>6043.9698516325443</v>
      </c>
      <c r="J44" s="859">
        <f t="shared" si="16"/>
        <v>4014.5441015233218</v>
      </c>
      <c r="K44" s="859">
        <f t="shared" si="16"/>
        <v>3936.3035868458819</v>
      </c>
      <c r="L44" s="859">
        <f t="shared" si="16"/>
        <v>40379.141124555172</v>
      </c>
      <c r="M44" s="859">
        <f t="shared" si="16"/>
        <v>13994.81754000175</v>
      </c>
      <c r="N44" s="859">
        <f t="shared" si="16"/>
        <v>1967</v>
      </c>
      <c r="O44" s="859">
        <f t="shared" si="16"/>
        <v>2113</v>
      </c>
      <c r="P44" s="858">
        <f>SUM(P43)</f>
        <v>58453.958664556922</v>
      </c>
      <c r="Q44" s="859">
        <f>SUM(Q43)</f>
        <v>26167.491835750319</v>
      </c>
      <c r="R44" s="820"/>
    </row>
    <row r="45" spans="1:61" ht="6" customHeight="1">
      <c r="A45" s="860"/>
      <c r="E45" s="845"/>
      <c r="P45" s="845"/>
      <c r="Q45" s="821"/>
      <c r="R45" s="820"/>
      <c r="S45" s="821"/>
      <c r="T45" s="821"/>
      <c r="U45" s="821"/>
      <c r="V45" s="821"/>
      <c r="W45" s="821"/>
      <c r="X45" s="821"/>
      <c r="Y45" s="821"/>
      <c r="Z45" s="821"/>
      <c r="AA45" s="821"/>
      <c r="AB45" s="821"/>
      <c r="AC45" s="821"/>
      <c r="AD45" s="821"/>
      <c r="AE45" s="821"/>
      <c r="AF45" s="821"/>
      <c r="AG45" s="821"/>
      <c r="AH45" s="821"/>
      <c r="AI45" s="821"/>
      <c r="AJ45" s="821"/>
      <c r="AK45" s="821"/>
      <c r="AL45" s="821"/>
      <c r="AM45" s="821"/>
      <c r="AN45" s="821"/>
      <c r="AO45" s="821"/>
      <c r="AP45" s="821"/>
      <c r="AQ45" s="821"/>
      <c r="AR45" s="821"/>
      <c r="AS45" s="821"/>
      <c r="AT45" s="821"/>
      <c r="AU45" s="821"/>
      <c r="AV45" s="821"/>
      <c r="AW45" s="821"/>
      <c r="AX45" s="821"/>
      <c r="AY45" s="821"/>
      <c r="AZ45" s="821"/>
      <c r="BA45" s="821"/>
      <c r="BB45" s="821"/>
      <c r="BC45" s="821"/>
      <c r="BD45" s="821"/>
      <c r="BE45" s="821"/>
      <c r="BF45" s="821"/>
      <c r="BG45" s="821"/>
      <c r="BH45" s="821"/>
      <c r="BI45" s="821"/>
    </row>
    <row r="46" spans="1:61" s="822" customFormat="1">
      <c r="A46" s="895" t="s">
        <v>188</v>
      </c>
      <c r="B46" s="822" t="s">
        <v>72</v>
      </c>
      <c r="C46" s="822" t="s">
        <v>132</v>
      </c>
      <c r="D46" s="823" t="s">
        <v>133</v>
      </c>
      <c r="E46" s="824">
        <v>2032</v>
      </c>
      <c r="F46" s="822">
        <f>PopulationData!E44</f>
        <v>900.67076872419409</v>
      </c>
      <c r="G46" s="822">
        <f>PopulationData!F44</f>
        <v>800.43109384399509</v>
      </c>
      <c r="H46" s="822">
        <f>PopulationData!G44</f>
        <v>614.39084839019642</v>
      </c>
      <c r="I46" s="822">
        <f>PopulationData!H44</f>
        <v>402.26262238754362</v>
      </c>
      <c r="J46" s="822">
        <f>PopulationData!I44</f>
        <v>243.90046184529996</v>
      </c>
      <c r="K46" s="822">
        <f>PopulationData!J44</f>
        <v>204.10940832004854</v>
      </c>
      <c r="L46" s="823">
        <f>SUM(F46:K46)</f>
        <v>3165.7652035112778</v>
      </c>
      <c r="M46" s="822">
        <f t="shared" si="12"/>
        <v>850.27249255289212</v>
      </c>
      <c r="N46" s="822">
        <v>326</v>
      </c>
      <c r="O46" s="822">
        <v>91</v>
      </c>
      <c r="P46" s="825">
        <f>SUM(L46:O46)</f>
        <v>4433.0376960641697</v>
      </c>
      <c r="Q46" s="826">
        <f t="shared" si="14"/>
        <v>1881.6633409430885</v>
      </c>
      <c r="R46" s="820"/>
      <c r="S46" s="821"/>
      <c r="T46" s="821"/>
      <c r="U46" s="821"/>
      <c r="V46" s="821"/>
      <c r="W46" s="821"/>
      <c r="X46" s="821"/>
      <c r="Y46" s="821"/>
      <c r="Z46" s="821"/>
      <c r="AA46" s="821"/>
      <c r="AB46" s="821"/>
      <c r="AC46" s="821"/>
      <c r="AD46" s="821"/>
      <c r="AE46" s="821"/>
      <c r="AF46" s="821"/>
      <c r="AG46" s="821"/>
      <c r="AH46" s="821"/>
      <c r="AI46" s="821"/>
      <c r="AJ46" s="821"/>
      <c r="AK46" s="821"/>
      <c r="AL46" s="821"/>
      <c r="AM46" s="821"/>
      <c r="AN46" s="821"/>
      <c r="AO46" s="821"/>
      <c r="AP46" s="821"/>
      <c r="AQ46" s="821"/>
      <c r="AR46" s="821"/>
      <c r="AS46" s="821"/>
      <c r="AT46" s="821"/>
      <c r="AU46" s="821"/>
      <c r="AV46" s="821"/>
      <c r="AW46" s="821"/>
      <c r="AX46" s="821"/>
      <c r="AY46" s="821"/>
      <c r="AZ46" s="821"/>
      <c r="BA46" s="821"/>
      <c r="BB46" s="821"/>
      <c r="BC46" s="821"/>
      <c r="BD46" s="821"/>
      <c r="BE46" s="821"/>
      <c r="BF46" s="821"/>
      <c r="BG46" s="821"/>
      <c r="BH46" s="821"/>
      <c r="BI46" s="821"/>
    </row>
    <row r="47" spans="1:61" s="822" customFormat="1">
      <c r="A47" s="896"/>
      <c r="B47" s="822" t="s">
        <v>72</v>
      </c>
      <c r="C47" s="822" t="s">
        <v>132</v>
      </c>
      <c r="D47" s="823" t="s">
        <v>134</v>
      </c>
      <c r="E47" s="824">
        <v>3216</v>
      </c>
      <c r="F47" s="822">
        <f>PopulationData!E45</f>
        <v>5027.2733349538375</v>
      </c>
      <c r="G47" s="822">
        <f>PopulationData!F45</f>
        <v>4544.9533114646456</v>
      </c>
      <c r="H47" s="822">
        <f>PopulationData!G45</f>
        <v>3376.7942073714967</v>
      </c>
      <c r="I47" s="822">
        <f>PopulationData!H45</f>
        <v>2272.9153945206008</v>
      </c>
      <c r="J47" s="822">
        <f>PopulationData!I45</f>
        <v>1504.466478549775</v>
      </c>
      <c r="K47" s="822">
        <f>PopulationData!J45</f>
        <v>1416.7474386731137</v>
      </c>
      <c r="L47" s="823">
        <f t="shared" si="11"/>
        <v>18143.150165533465</v>
      </c>
      <c r="M47" s="822">
        <f t="shared" si="12"/>
        <v>5194.1293117434898</v>
      </c>
      <c r="N47" s="822">
        <v>1623</v>
      </c>
      <c r="O47" s="822">
        <v>1202</v>
      </c>
      <c r="P47" s="825">
        <f t="shared" si="13"/>
        <v>26162.279477276956</v>
      </c>
      <c r="Q47" s="826">
        <f t="shared" si="14"/>
        <v>11395.923519114986</v>
      </c>
      <c r="R47" s="820"/>
      <c r="S47" s="821"/>
      <c r="T47" s="821"/>
      <c r="U47" s="821"/>
      <c r="V47" s="821"/>
      <c r="W47" s="821"/>
      <c r="X47" s="821"/>
      <c r="Y47" s="821"/>
      <c r="Z47" s="821"/>
      <c r="AA47" s="821"/>
      <c r="AB47" s="821"/>
      <c r="AC47" s="821"/>
      <c r="AD47" s="821"/>
      <c r="AE47" s="821"/>
      <c r="AF47" s="821"/>
      <c r="AG47" s="821"/>
      <c r="AH47" s="821"/>
      <c r="AI47" s="821"/>
      <c r="AJ47" s="821"/>
      <c r="AK47" s="821"/>
      <c r="AL47" s="821"/>
      <c r="AM47" s="821"/>
      <c r="AN47" s="821"/>
      <c r="AO47" s="821"/>
      <c r="AP47" s="821"/>
      <c r="AQ47" s="821"/>
      <c r="AR47" s="821"/>
      <c r="AS47" s="821"/>
      <c r="AT47" s="821"/>
      <c r="AU47" s="821"/>
      <c r="AV47" s="821"/>
      <c r="AW47" s="821"/>
      <c r="AX47" s="821"/>
      <c r="AY47" s="821"/>
      <c r="AZ47" s="821"/>
      <c r="BA47" s="821"/>
      <c r="BB47" s="821"/>
      <c r="BC47" s="821"/>
      <c r="BD47" s="821"/>
      <c r="BE47" s="821"/>
      <c r="BF47" s="821"/>
      <c r="BG47" s="821"/>
      <c r="BH47" s="821"/>
      <c r="BI47" s="821"/>
    </row>
    <row r="48" spans="1:61" s="822" customFormat="1">
      <c r="A48" s="896"/>
      <c r="B48" s="822" t="s">
        <v>73</v>
      </c>
      <c r="C48" s="822" t="s">
        <v>135</v>
      </c>
      <c r="D48" s="823" t="s">
        <v>136</v>
      </c>
      <c r="E48" s="824">
        <v>3068</v>
      </c>
      <c r="F48" s="822">
        <f>PopulationData!E53</f>
        <v>1526.6766299172427</v>
      </c>
      <c r="G48" s="822">
        <f>PopulationData!F53</f>
        <v>1555.508110050017</v>
      </c>
      <c r="H48" s="822">
        <f>PopulationData!G53</f>
        <v>1270.8644495338986</v>
      </c>
      <c r="I48" s="822">
        <f>PopulationData!H53</f>
        <v>920.74702928861961</v>
      </c>
      <c r="J48" s="822">
        <f>PopulationData!I53</f>
        <v>591.45922320116301</v>
      </c>
      <c r="K48" s="822">
        <f>PopulationData!J53</f>
        <v>514.5471977631546</v>
      </c>
      <c r="L48" s="823">
        <f t="shared" si="11"/>
        <v>6379.8026397540943</v>
      </c>
      <c r="M48" s="822">
        <f t="shared" si="12"/>
        <v>2026.7534502529372</v>
      </c>
      <c r="N48" s="822">
        <v>223</v>
      </c>
      <c r="O48" s="822">
        <v>223</v>
      </c>
      <c r="P48" s="825">
        <f>SUM(L48:O48)</f>
        <v>8852.5560900070323</v>
      </c>
      <c r="Q48" s="826">
        <f t="shared" si="14"/>
        <v>3743.617899786836</v>
      </c>
      <c r="R48" s="820"/>
      <c r="S48" s="821"/>
      <c r="T48" s="821"/>
      <c r="U48" s="821"/>
      <c r="V48" s="821"/>
      <c r="W48" s="821"/>
      <c r="X48" s="821"/>
      <c r="Y48" s="821"/>
      <c r="Z48" s="821"/>
      <c r="AA48" s="821"/>
      <c r="AB48" s="821"/>
      <c r="AC48" s="821"/>
      <c r="AD48" s="821"/>
      <c r="AE48" s="821"/>
      <c r="AF48" s="821"/>
      <c r="AG48" s="821"/>
      <c r="AH48" s="821"/>
      <c r="AI48" s="821"/>
      <c r="AJ48" s="821"/>
      <c r="AK48" s="821"/>
      <c r="AL48" s="821"/>
      <c r="AM48" s="821"/>
      <c r="AN48" s="821"/>
      <c r="AO48" s="821"/>
      <c r="AP48" s="821"/>
      <c r="AQ48" s="821"/>
      <c r="AR48" s="821"/>
      <c r="AS48" s="821"/>
      <c r="AT48" s="821"/>
      <c r="AU48" s="821"/>
      <c r="AV48" s="821"/>
      <c r="AW48" s="821"/>
      <c r="AX48" s="821"/>
      <c r="AY48" s="821"/>
      <c r="AZ48" s="821"/>
      <c r="BA48" s="821"/>
      <c r="BB48" s="821"/>
      <c r="BC48" s="821"/>
      <c r="BD48" s="821"/>
      <c r="BE48" s="821"/>
      <c r="BF48" s="821"/>
      <c r="BG48" s="821"/>
      <c r="BH48" s="821"/>
      <c r="BI48" s="821"/>
    </row>
    <row r="49" spans="1:61" s="822" customFormat="1">
      <c r="A49" s="896"/>
      <c r="B49" s="822" t="s">
        <v>73</v>
      </c>
      <c r="C49" s="822" t="s">
        <v>137</v>
      </c>
      <c r="D49" s="823" t="s">
        <v>137</v>
      </c>
      <c r="E49" s="824">
        <v>4529</v>
      </c>
      <c r="F49" s="822">
        <f>PopulationData!E54</f>
        <v>730.1366125117695</v>
      </c>
      <c r="G49" s="822">
        <f>PopulationData!F54</f>
        <v>811.65671458198767</v>
      </c>
      <c r="H49" s="822">
        <f>PopulationData!G54</f>
        <v>658.5494976123216</v>
      </c>
      <c r="I49" s="822">
        <f>PopulationData!H54</f>
        <v>511.06209202186824</v>
      </c>
      <c r="J49" s="822">
        <f>PopulationData!I54</f>
        <v>322.90890954838426</v>
      </c>
      <c r="K49" s="822">
        <f>PopulationData!J54</f>
        <v>309.13092675630764</v>
      </c>
      <c r="L49" s="823">
        <f t="shared" si="11"/>
        <v>3343.4447530326388</v>
      </c>
      <c r="M49" s="822">
        <f t="shared" si="12"/>
        <v>1143.10192832656</v>
      </c>
      <c r="N49" s="822">
        <v>126</v>
      </c>
      <c r="O49" s="822">
        <v>325</v>
      </c>
      <c r="P49" s="825">
        <f t="shared" si="13"/>
        <v>4937.5466813591993</v>
      </c>
      <c r="Q49" s="826">
        <f t="shared" si="14"/>
        <v>2252.6514259388814</v>
      </c>
      <c r="R49" s="820"/>
      <c r="S49" s="821"/>
      <c r="T49" s="821"/>
      <c r="U49" s="821"/>
      <c r="V49" s="821"/>
      <c r="W49" s="821"/>
      <c r="X49" s="821"/>
      <c r="Y49" s="821"/>
      <c r="Z49" s="821"/>
      <c r="AA49" s="821"/>
      <c r="AB49" s="821"/>
      <c r="AC49" s="821"/>
      <c r="AD49" s="821"/>
      <c r="AE49" s="821"/>
      <c r="AF49" s="821"/>
      <c r="AG49" s="821"/>
      <c r="AH49" s="821"/>
      <c r="AI49" s="821"/>
      <c r="AJ49" s="821"/>
      <c r="AK49" s="821"/>
      <c r="AL49" s="821"/>
      <c r="AM49" s="821"/>
      <c r="AN49" s="821"/>
      <c r="AO49" s="821"/>
      <c r="AP49" s="821"/>
      <c r="AQ49" s="821"/>
      <c r="AR49" s="821"/>
      <c r="AS49" s="821"/>
      <c r="AT49" s="821"/>
      <c r="AU49" s="821"/>
      <c r="AV49" s="821"/>
      <c r="AW49" s="821"/>
      <c r="AX49" s="821"/>
      <c r="AY49" s="821"/>
      <c r="AZ49" s="821"/>
      <c r="BA49" s="821"/>
      <c r="BB49" s="821"/>
      <c r="BC49" s="821"/>
      <c r="BD49" s="821"/>
      <c r="BE49" s="821"/>
      <c r="BF49" s="821"/>
      <c r="BG49" s="821"/>
      <c r="BH49" s="821"/>
      <c r="BI49" s="821"/>
    </row>
    <row r="50" spans="1:61" s="822" customFormat="1">
      <c r="A50" s="896"/>
      <c r="B50" s="822" t="s">
        <v>73</v>
      </c>
      <c r="C50" s="822" t="s">
        <v>135</v>
      </c>
      <c r="D50" s="823" t="s">
        <v>138</v>
      </c>
      <c r="E50" s="824">
        <v>2037</v>
      </c>
      <c r="F50" s="822">
        <f>PopulationData!E55</f>
        <v>1896.6057126438404</v>
      </c>
      <c r="G50" s="822">
        <f>PopulationData!F55</f>
        <v>1971.4962605599167</v>
      </c>
      <c r="H50" s="822">
        <f>PopulationData!G55</f>
        <v>1532.9848089217037</v>
      </c>
      <c r="I50" s="822">
        <f>PopulationData!H55</f>
        <v>1040.3227298857553</v>
      </c>
      <c r="J50" s="822">
        <f>PopulationData!I55</f>
        <v>699.53070680755764</v>
      </c>
      <c r="K50" s="822">
        <f>PopulationData!J55</f>
        <v>793.48288263254722</v>
      </c>
      <c r="L50" s="823">
        <f t="shared" si="11"/>
        <v>7934.4231014513216</v>
      </c>
      <c r="M50" s="822">
        <f t="shared" si="12"/>
        <v>2533.3363193258601</v>
      </c>
      <c r="N50" s="822">
        <v>256</v>
      </c>
      <c r="O50" s="822">
        <v>301</v>
      </c>
      <c r="P50" s="825">
        <f t="shared" si="13"/>
        <v>11024.759420777182</v>
      </c>
      <c r="Q50" s="826">
        <f t="shared" si="14"/>
        <v>4623.321128247564</v>
      </c>
      <c r="R50" s="820"/>
      <c r="S50" s="821"/>
      <c r="T50" s="821"/>
      <c r="U50" s="821"/>
      <c r="V50" s="821"/>
      <c r="W50" s="821"/>
      <c r="X50" s="821"/>
      <c r="Y50" s="821"/>
      <c r="Z50" s="821"/>
      <c r="AA50" s="821"/>
      <c r="AB50" s="821"/>
      <c r="AC50" s="821"/>
      <c r="AD50" s="821"/>
      <c r="AE50" s="821"/>
      <c r="AF50" s="821"/>
      <c r="AG50" s="821"/>
      <c r="AH50" s="821"/>
      <c r="AI50" s="821"/>
      <c r="AJ50" s="821"/>
      <c r="AK50" s="821"/>
      <c r="AL50" s="821"/>
      <c r="AM50" s="821"/>
      <c r="AN50" s="821"/>
      <c r="AO50" s="821"/>
      <c r="AP50" s="821"/>
      <c r="AQ50" s="821"/>
      <c r="AR50" s="821"/>
      <c r="AS50" s="821"/>
      <c r="AT50" s="821"/>
      <c r="AU50" s="821"/>
      <c r="AV50" s="821"/>
      <c r="AW50" s="821"/>
      <c r="AX50" s="821"/>
      <c r="AY50" s="821"/>
      <c r="AZ50" s="821"/>
      <c r="BA50" s="821"/>
      <c r="BB50" s="821"/>
      <c r="BC50" s="821"/>
      <c r="BD50" s="821"/>
      <c r="BE50" s="821"/>
      <c r="BF50" s="821"/>
      <c r="BG50" s="821"/>
      <c r="BH50" s="821"/>
      <c r="BI50" s="821"/>
    </row>
    <row r="51" spans="1:61" s="822" customFormat="1">
      <c r="A51" s="896"/>
      <c r="B51" s="822" t="s">
        <v>73</v>
      </c>
      <c r="C51" s="822" t="s">
        <v>135</v>
      </c>
      <c r="D51" s="823" t="s">
        <v>139</v>
      </c>
      <c r="E51" s="824">
        <v>3146</v>
      </c>
      <c r="F51" s="822">
        <f>PopulationData!E56</f>
        <v>664.57340214935562</v>
      </c>
      <c r="G51" s="822">
        <f>PopulationData!F56</f>
        <v>763.65573214052142</v>
      </c>
      <c r="H51" s="822">
        <f>PopulationData!G56</f>
        <v>577.56615910213304</v>
      </c>
      <c r="I51" s="822">
        <f>PopulationData!H56</f>
        <v>390.64358222474152</v>
      </c>
      <c r="J51" s="822">
        <f>PopulationData!I56</f>
        <v>271.37669984626575</v>
      </c>
      <c r="K51" s="822">
        <f>PopulationData!J56</f>
        <v>294.2658000903167</v>
      </c>
      <c r="L51" s="823">
        <f t="shared" si="11"/>
        <v>2962.0813755533341</v>
      </c>
      <c r="M51" s="822">
        <f t="shared" si="12"/>
        <v>956.28608216132398</v>
      </c>
      <c r="N51" s="822">
        <v>85</v>
      </c>
      <c r="O51" s="822">
        <v>169</v>
      </c>
      <c r="P51" s="825">
        <f t="shared" si="13"/>
        <v>4172.3674577146576</v>
      </c>
      <c r="Q51" s="826">
        <f t="shared" si="14"/>
        <v>1787.852241263457</v>
      </c>
      <c r="R51" s="820"/>
      <c r="S51" s="821"/>
      <c r="T51" s="821"/>
      <c r="U51" s="821"/>
      <c r="V51" s="821"/>
      <c r="W51" s="821"/>
      <c r="X51" s="821"/>
      <c r="Y51" s="821"/>
      <c r="Z51" s="821"/>
      <c r="AA51" s="821"/>
      <c r="AB51" s="821"/>
      <c r="AC51" s="821"/>
      <c r="AD51" s="821"/>
      <c r="AE51" s="821"/>
      <c r="AF51" s="821"/>
      <c r="AG51" s="821"/>
      <c r="AH51" s="821"/>
      <c r="AI51" s="821"/>
      <c r="AJ51" s="821"/>
      <c r="AK51" s="821"/>
      <c r="AL51" s="821"/>
      <c r="AM51" s="821"/>
      <c r="AN51" s="821"/>
      <c r="AO51" s="821"/>
      <c r="AP51" s="821"/>
      <c r="AQ51" s="821"/>
      <c r="AR51" s="821"/>
      <c r="AS51" s="821"/>
      <c r="AT51" s="821"/>
      <c r="AU51" s="821"/>
      <c r="AV51" s="821"/>
      <c r="AW51" s="821"/>
      <c r="AX51" s="821"/>
      <c r="AY51" s="821"/>
      <c r="AZ51" s="821"/>
      <c r="BA51" s="821"/>
      <c r="BB51" s="821"/>
      <c r="BC51" s="821"/>
      <c r="BD51" s="821"/>
      <c r="BE51" s="821"/>
      <c r="BF51" s="821"/>
      <c r="BG51" s="821"/>
      <c r="BH51" s="821"/>
      <c r="BI51" s="821"/>
    </row>
    <row r="52" spans="1:61" s="822" customFormat="1">
      <c r="A52" s="896"/>
      <c r="B52" s="822" t="s">
        <v>74</v>
      </c>
      <c r="C52" s="822" t="s">
        <v>140</v>
      </c>
      <c r="D52" s="823" t="s">
        <v>141</v>
      </c>
      <c r="E52" s="824">
        <v>10133</v>
      </c>
      <c r="F52" s="822">
        <f>PopulationData!E59</f>
        <v>615.19876924259938</v>
      </c>
      <c r="G52" s="822">
        <f>PopulationData!F59</f>
        <v>633.49656228169397</v>
      </c>
      <c r="H52" s="822">
        <f>PopulationData!G59</f>
        <v>484.99364596356622</v>
      </c>
      <c r="I52" s="822">
        <f>PopulationData!H59</f>
        <v>360.54885603637854</v>
      </c>
      <c r="J52" s="822">
        <f>PopulationData!I59</f>
        <v>229.84997615667507</v>
      </c>
      <c r="K52" s="822">
        <f>PopulationData!J59</f>
        <v>214.66068111557496</v>
      </c>
      <c r="L52" s="823">
        <f t="shared" si="11"/>
        <v>2538.7484907964881</v>
      </c>
      <c r="M52" s="822">
        <f t="shared" si="12"/>
        <v>805.05951330862854</v>
      </c>
      <c r="N52" s="822">
        <v>154</v>
      </c>
      <c r="O52" s="822">
        <v>92</v>
      </c>
      <c r="P52" s="825">
        <f t="shared" si="13"/>
        <v>3589.8080041051167</v>
      </c>
      <c r="Q52" s="826">
        <f t="shared" si="14"/>
        <v>1536.0531592721948</v>
      </c>
      <c r="R52" s="820"/>
      <c r="S52" s="821"/>
      <c r="T52" s="821"/>
      <c r="U52" s="821"/>
      <c r="V52" s="821"/>
      <c r="W52" s="821"/>
      <c r="X52" s="821"/>
      <c r="Y52" s="821"/>
      <c r="Z52" s="821"/>
      <c r="AA52" s="821"/>
      <c r="AB52" s="821"/>
      <c r="AC52" s="821"/>
      <c r="AD52" s="821"/>
      <c r="AE52" s="821"/>
      <c r="AF52" s="821"/>
      <c r="AG52" s="821"/>
      <c r="AH52" s="821"/>
      <c r="AI52" s="821"/>
      <c r="AJ52" s="821"/>
      <c r="AK52" s="821"/>
      <c r="AL52" s="821"/>
      <c r="AM52" s="821"/>
      <c r="AN52" s="821"/>
      <c r="AO52" s="821"/>
      <c r="AP52" s="821"/>
      <c r="AQ52" s="821"/>
      <c r="AR52" s="821"/>
      <c r="AS52" s="821"/>
      <c r="AT52" s="821"/>
      <c r="AU52" s="821"/>
      <c r="AV52" s="821"/>
      <c r="AW52" s="821"/>
      <c r="AX52" s="821"/>
      <c r="AY52" s="821"/>
      <c r="AZ52" s="821"/>
      <c r="BA52" s="821"/>
      <c r="BB52" s="821"/>
      <c r="BC52" s="821"/>
      <c r="BD52" s="821"/>
      <c r="BE52" s="821"/>
      <c r="BF52" s="821"/>
      <c r="BG52" s="821"/>
      <c r="BH52" s="821"/>
      <c r="BI52" s="821"/>
    </row>
    <row r="53" spans="1:61" s="822" customFormat="1">
      <c r="A53" s="896"/>
      <c r="B53" s="822" t="s">
        <v>75</v>
      </c>
      <c r="C53" s="822" t="s">
        <v>142</v>
      </c>
      <c r="D53" s="823" t="s">
        <v>143</v>
      </c>
      <c r="E53" s="824">
        <v>9888</v>
      </c>
      <c r="F53" s="822">
        <f>PopulationData!E61</f>
        <v>1923.8629533764556</v>
      </c>
      <c r="G53" s="822">
        <f>PopulationData!F61</f>
        <v>1913.7225096721281</v>
      </c>
      <c r="H53" s="822">
        <f>PopulationData!G61</f>
        <v>1558.8195591926758</v>
      </c>
      <c r="I53" s="822">
        <f>PopulationData!H61</f>
        <v>1116.0090117021859</v>
      </c>
      <c r="J53" s="822">
        <f>PopulationData!I61</f>
        <v>690.54887665687784</v>
      </c>
      <c r="K53" s="822">
        <f>PopulationData!J61</f>
        <v>774.38072991797173</v>
      </c>
      <c r="L53" s="823">
        <f t="shared" si="11"/>
        <v>7977.3436405182947</v>
      </c>
      <c r="M53" s="822">
        <f t="shared" si="12"/>
        <v>2580.9386182770354</v>
      </c>
      <c r="N53" s="822">
        <v>965</v>
      </c>
      <c r="O53" s="822">
        <v>558</v>
      </c>
      <c r="P53" s="825">
        <f t="shared" si="13"/>
        <v>12081.282258795331</v>
      </c>
      <c r="Q53" s="826">
        <f t="shared" si="14"/>
        <v>5662.758177469711</v>
      </c>
      <c r="R53" s="820"/>
      <c r="S53" s="821"/>
      <c r="T53" s="821"/>
      <c r="U53" s="821"/>
      <c r="V53" s="821"/>
      <c r="W53" s="821"/>
      <c r="X53" s="821"/>
      <c r="Y53" s="821"/>
      <c r="Z53" s="821"/>
      <c r="AA53" s="821"/>
      <c r="AB53" s="821"/>
      <c r="AC53" s="821"/>
      <c r="AD53" s="821"/>
      <c r="AE53" s="821"/>
      <c r="AF53" s="821"/>
      <c r="AG53" s="821"/>
      <c r="AH53" s="821"/>
      <c r="AI53" s="821"/>
      <c r="AJ53" s="821"/>
      <c r="AK53" s="821"/>
      <c r="AL53" s="821"/>
      <c r="AM53" s="821"/>
      <c r="AN53" s="821"/>
      <c r="AO53" s="821"/>
      <c r="AP53" s="821"/>
      <c r="AQ53" s="821"/>
      <c r="AR53" s="821"/>
      <c r="AS53" s="821"/>
      <c r="AT53" s="821"/>
      <c r="AU53" s="821"/>
      <c r="AV53" s="821"/>
      <c r="AW53" s="821"/>
      <c r="AX53" s="821"/>
      <c r="AY53" s="821"/>
      <c r="AZ53" s="821"/>
      <c r="BA53" s="821"/>
      <c r="BB53" s="821"/>
      <c r="BC53" s="821"/>
      <c r="BD53" s="821"/>
      <c r="BE53" s="821"/>
      <c r="BF53" s="821"/>
      <c r="BG53" s="821"/>
      <c r="BH53" s="821"/>
      <c r="BI53" s="821"/>
    </row>
    <row r="54" spans="1:61" s="864" customFormat="1" ht="17.25" thickBot="1">
      <c r="A54" s="897"/>
      <c r="B54" s="829"/>
      <c r="C54" s="830"/>
      <c r="D54" s="868" t="s">
        <v>182</v>
      </c>
      <c r="E54" s="861">
        <f>SUM(E46:E53)</f>
        <v>38049</v>
      </c>
      <c r="F54" s="862">
        <f>SUM(F46:F53)</f>
        <v>13284.998183519296</v>
      </c>
      <c r="G54" s="862">
        <f t="shared" ref="G54:O54" si="17">SUM(G46:G53)</f>
        <v>12994.920294594905</v>
      </c>
      <c r="H54" s="862">
        <f t="shared" si="17"/>
        <v>10074.963176087993</v>
      </c>
      <c r="I54" s="862">
        <f t="shared" si="17"/>
        <v>7014.5113180676926</v>
      </c>
      <c r="J54" s="862">
        <f t="shared" si="17"/>
        <v>4554.0413326119979</v>
      </c>
      <c r="K54" s="862">
        <f t="shared" si="17"/>
        <v>4521.3250652690349</v>
      </c>
      <c r="L54" s="862">
        <f t="shared" si="17"/>
        <v>52444.759370150918</v>
      </c>
      <c r="M54" s="862">
        <f t="shared" si="17"/>
        <v>16089.877715948729</v>
      </c>
      <c r="N54" s="862">
        <f t="shared" si="17"/>
        <v>3758</v>
      </c>
      <c r="O54" s="862">
        <f t="shared" si="17"/>
        <v>2961</v>
      </c>
      <c r="P54" s="861">
        <f>SUM(P46:P53)</f>
        <v>75253.637086099639</v>
      </c>
      <c r="Q54" s="863">
        <f>SUM(Q46:Q53)</f>
        <v>32883.840892036722</v>
      </c>
      <c r="R54" s="820"/>
      <c r="S54" s="821"/>
      <c r="T54" s="821"/>
      <c r="U54" s="821"/>
      <c r="V54" s="821"/>
      <c r="W54" s="821"/>
      <c r="X54" s="821"/>
      <c r="Y54" s="821"/>
      <c r="Z54" s="821"/>
      <c r="AA54" s="821"/>
      <c r="AB54" s="821"/>
      <c r="AC54" s="821"/>
      <c r="AD54" s="821"/>
      <c r="AE54" s="821"/>
      <c r="AF54" s="821"/>
      <c r="AG54" s="821"/>
      <c r="AH54" s="821"/>
      <c r="AI54" s="821"/>
      <c r="AJ54" s="821"/>
      <c r="AK54" s="821"/>
      <c r="AL54" s="821"/>
      <c r="AM54" s="821"/>
      <c r="AN54" s="821"/>
      <c r="AO54" s="821"/>
      <c r="AP54" s="821"/>
      <c r="AQ54" s="821"/>
      <c r="AR54" s="821"/>
      <c r="AS54" s="821"/>
      <c r="AT54" s="821"/>
      <c r="AU54" s="821"/>
      <c r="AV54" s="821"/>
      <c r="AW54" s="821"/>
      <c r="AX54" s="821"/>
      <c r="AY54" s="821"/>
      <c r="AZ54" s="821"/>
      <c r="BA54" s="821"/>
      <c r="BB54" s="821"/>
      <c r="BC54" s="821"/>
      <c r="BD54" s="821"/>
      <c r="BE54" s="821"/>
      <c r="BF54" s="821"/>
      <c r="BG54" s="821"/>
      <c r="BH54" s="821"/>
      <c r="BI54" s="821"/>
    </row>
    <row r="55" spans="1:61" ht="17.25" thickTop="1">
      <c r="Q55" s="866"/>
      <c r="R55" s="821"/>
      <c r="S55" s="821"/>
      <c r="T55" s="821"/>
      <c r="U55" s="821"/>
      <c r="V55" s="821"/>
      <c r="W55" s="821"/>
      <c r="X55" s="821"/>
      <c r="Y55" s="821"/>
      <c r="Z55" s="821"/>
      <c r="AA55" s="821"/>
      <c r="AB55" s="821"/>
      <c r="AC55" s="821"/>
      <c r="AD55" s="821"/>
      <c r="AE55" s="821"/>
      <c r="AF55" s="821"/>
      <c r="AG55" s="821"/>
      <c r="AH55" s="821"/>
      <c r="AI55" s="821"/>
      <c r="AJ55" s="821"/>
      <c r="AK55" s="821"/>
      <c r="AL55" s="821"/>
      <c r="AM55" s="821"/>
      <c r="AN55" s="821"/>
      <c r="AO55" s="821"/>
      <c r="AP55" s="821"/>
      <c r="AQ55" s="821"/>
      <c r="AR55" s="821"/>
      <c r="AS55" s="821"/>
      <c r="AT55" s="821"/>
      <c r="AU55" s="821"/>
      <c r="AV55" s="821"/>
      <c r="AW55" s="821"/>
      <c r="AX55" s="821"/>
      <c r="AY55" s="821"/>
      <c r="AZ55" s="821"/>
      <c r="BA55" s="821"/>
      <c r="BB55" s="821"/>
      <c r="BC55" s="821"/>
      <c r="BD55" s="821"/>
      <c r="BE55" s="821"/>
      <c r="BF55" s="821"/>
      <c r="BG55" s="821"/>
      <c r="BH55" s="821"/>
      <c r="BI55" s="821"/>
    </row>
    <row r="56" spans="1:61">
      <c r="R56" s="821"/>
      <c r="S56" s="821"/>
      <c r="T56" s="821"/>
      <c r="U56" s="821"/>
      <c r="V56" s="821"/>
      <c r="W56" s="821"/>
      <c r="X56" s="821"/>
      <c r="Y56" s="821"/>
      <c r="Z56" s="821"/>
      <c r="AA56" s="821"/>
      <c r="AB56" s="821"/>
      <c r="AC56" s="821"/>
      <c r="AD56" s="821"/>
      <c r="AE56" s="821"/>
      <c r="AF56" s="821"/>
      <c r="AG56" s="821"/>
      <c r="AH56" s="821"/>
      <c r="AI56" s="821"/>
      <c r="AJ56" s="821"/>
      <c r="AK56" s="821"/>
      <c r="AL56" s="821"/>
      <c r="AM56" s="821"/>
      <c r="AN56" s="821"/>
      <c r="AO56" s="821"/>
      <c r="AP56" s="821"/>
      <c r="AQ56" s="821"/>
      <c r="AR56" s="821"/>
      <c r="AS56" s="821"/>
      <c r="AT56" s="821"/>
      <c r="AU56" s="821"/>
      <c r="AV56" s="821"/>
      <c r="AW56" s="821"/>
      <c r="AX56" s="821"/>
      <c r="AY56" s="821"/>
      <c r="AZ56" s="821"/>
      <c r="BA56" s="821"/>
      <c r="BB56" s="821"/>
      <c r="BC56" s="821"/>
      <c r="BD56" s="821"/>
      <c r="BE56" s="821"/>
      <c r="BF56" s="821"/>
      <c r="BG56" s="821"/>
      <c r="BH56" s="821"/>
      <c r="BI56" s="821"/>
    </row>
    <row r="57" spans="1:61">
      <c r="S57" s="821"/>
      <c r="T57" s="821"/>
      <c r="U57" s="821"/>
      <c r="V57" s="821"/>
      <c r="W57" s="821"/>
      <c r="X57" s="821"/>
      <c r="Y57" s="821"/>
      <c r="Z57" s="821"/>
      <c r="AA57" s="821"/>
      <c r="AB57" s="821"/>
      <c r="AC57" s="821"/>
      <c r="AD57" s="821"/>
      <c r="AE57" s="821"/>
      <c r="AF57" s="821"/>
      <c r="AG57" s="821"/>
      <c r="AH57" s="821"/>
      <c r="AI57" s="821"/>
      <c r="AJ57" s="821"/>
      <c r="AK57" s="821"/>
      <c r="AL57" s="821"/>
      <c r="AM57" s="821"/>
      <c r="AN57" s="821"/>
      <c r="AO57" s="821"/>
      <c r="AP57" s="821"/>
      <c r="AQ57" s="821"/>
      <c r="AR57" s="821"/>
      <c r="AS57" s="821"/>
      <c r="AT57" s="821"/>
      <c r="AU57" s="821"/>
      <c r="AV57" s="821"/>
      <c r="AW57" s="821"/>
      <c r="AX57" s="821"/>
      <c r="AY57" s="821"/>
      <c r="AZ57" s="821"/>
      <c r="BA57" s="821"/>
      <c r="BB57" s="821"/>
      <c r="BC57" s="821"/>
      <c r="BD57" s="821"/>
      <c r="BE57" s="821"/>
      <c r="BF57" s="821"/>
      <c r="BG57" s="821"/>
      <c r="BH57" s="821"/>
      <c r="BI57" s="821"/>
    </row>
    <row r="60" spans="1:61">
      <c r="A60" s="867" t="s">
        <v>148</v>
      </c>
    </row>
    <row r="61" spans="1:61">
      <c r="A61" s="844"/>
    </row>
  </sheetData>
  <sheetProtection algorithmName="SHA-512" hashValue="q5C9rU0rtGfeNz052zM1Atu/K9hgcLK12P1tVJWWKroMaVTfPCuYwdQ/jmDqWRNru5xmUc8k14LllF+cb2puug==" saltValue="7npQH7m0aMs9CjgY/TmNfA==" spinCount="100000" sheet="1" objects="1" scenarios="1"/>
  <autoFilter ref="A1:Q53" xr:uid="{00000000-0009-0000-0000-000015000000}"/>
  <mergeCells count="9">
    <mergeCell ref="A46:A54"/>
    <mergeCell ref="A27:A37"/>
    <mergeCell ref="A39:A41"/>
    <mergeCell ref="A43:A44"/>
    <mergeCell ref="A2:A6"/>
    <mergeCell ref="A8:A13"/>
    <mergeCell ref="A15:A18"/>
    <mergeCell ref="A23:A25"/>
    <mergeCell ref="A20:A21"/>
  </mergeCells>
  <pageMargins left="0.75" right="0.75" top="1" bottom="0.5" header="0.25" footer="0.3"/>
  <pageSetup orientation="portrait" horizontalDpi="1200" verticalDpi="1200" r:id="rId1"/>
  <headerFooter>
    <oddHeader>&amp;L&amp;G&amp;C&amp;"-,Bold"&amp;16 2023-2025 planning allocation
to Area Agencies on Aging</oddHeader>
  </headerFooter>
  <rowBreaks count="1" manualBreakCount="1">
    <brk id="54" max="16383" man="1"/>
  </rowBreaks>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0">
    <tabColor rgb="FF00B0F0"/>
  </sheetPr>
  <dimension ref="A1:M35"/>
  <sheetViews>
    <sheetView zoomScale="75" zoomScaleNormal="75" workbookViewId="0">
      <selection activeCell="I21" sqref="I21"/>
    </sheetView>
  </sheetViews>
  <sheetFormatPr defaultColWidth="9.140625" defaultRowHeight="18.75"/>
  <cols>
    <col min="1" max="1" width="9.140625" style="792" collapsed="1"/>
    <col min="2" max="2" width="133.42578125" style="791" customWidth="1" collapsed="1"/>
    <col min="3" max="16384" width="9.140625" style="792" collapsed="1"/>
  </cols>
  <sheetData>
    <row r="1" spans="1:13">
      <c r="A1" s="790" t="s">
        <v>158</v>
      </c>
      <c r="J1" s="790"/>
      <c r="K1" s="790"/>
      <c r="L1" s="790"/>
    </row>
    <row r="2" spans="1:13">
      <c r="A2" s="790"/>
      <c r="B2" s="793" t="s">
        <v>400</v>
      </c>
      <c r="C2" s="717"/>
      <c r="D2" s="790"/>
      <c r="E2" s="790"/>
      <c r="F2" s="794"/>
      <c r="G2" s="790"/>
      <c r="H2" s="790"/>
      <c r="I2" s="790"/>
      <c r="J2" s="790"/>
      <c r="K2" s="790"/>
      <c r="L2" s="790"/>
    </row>
    <row r="3" spans="1:13">
      <c r="A3" s="790"/>
      <c r="B3" s="795" t="s">
        <v>402</v>
      </c>
      <c r="D3" s="790"/>
      <c r="E3" s="790"/>
      <c r="F3" s="794"/>
      <c r="G3" s="790"/>
      <c r="H3" s="790"/>
      <c r="I3" s="790"/>
      <c r="J3" s="790"/>
      <c r="K3" s="790"/>
      <c r="L3" s="790"/>
    </row>
    <row r="4" spans="1:13">
      <c r="A4" s="790"/>
      <c r="B4" s="795" t="s">
        <v>159</v>
      </c>
      <c r="C4" s="790"/>
      <c r="D4" s="790"/>
      <c r="E4" s="794"/>
      <c r="F4" s="794"/>
      <c r="G4" s="790"/>
      <c r="H4" s="790"/>
      <c r="I4" s="790"/>
      <c r="J4" s="794"/>
      <c r="K4" s="796"/>
      <c r="L4" s="790"/>
    </row>
    <row r="5" spans="1:13">
      <c r="A5" s="790"/>
      <c r="B5" s="717" t="s">
        <v>401</v>
      </c>
      <c r="C5" s="790"/>
      <c r="D5" s="790"/>
      <c r="E5" s="794"/>
      <c r="F5" s="794"/>
      <c r="G5" s="790"/>
      <c r="H5" s="790"/>
      <c r="I5" s="790"/>
      <c r="J5" s="794"/>
      <c r="K5" s="796"/>
      <c r="L5" s="790"/>
    </row>
    <row r="6" spans="1:13">
      <c r="A6" s="790"/>
      <c r="B6" s="793"/>
      <c r="C6" s="790"/>
      <c r="D6" s="794"/>
      <c r="E6" s="796"/>
      <c r="F6" s="790"/>
      <c r="G6" s="796"/>
      <c r="H6" s="796"/>
      <c r="I6" s="796"/>
      <c r="J6" s="797"/>
      <c r="K6" s="797"/>
      <c r="L6" s="797"/>
    </row>
    <row r="7" spans="1:13" ht="41.25" customHeight="1">
      <c r="A7" s="792" t="s">
        <v>168</v>
      </c>
      <c r="M7" s="790"/>
    </row>
    <row r="8" spans="1:13" ht="37.5">
      <c r="A8" s="792" t="s">
        <v>399</v>
      </c>
      <c r="B8" s="793" t="s">
        <v>398</v>
      </c>
      <c r="C8" s="790"/>
      <c r="D8" s="790"/>
      <c r="E8" s="790"/>
      <c r="F8" s="794"/>
      <c r="G8" s="790"/>
      <c r="H8" s="790"/>
      <c r="I8" s="790"/>
      <c r="M8" s="790"/>
    </row>
    <row r="9" spans="1:13">
      <c r="A9" s="792" t="s">
        <v>399</v>
      </c>
      <c r="B9" s="791" t="s">
        <v>160</v>
      </c>
      <c r="M9" s="790"/>
    </row>
    <row r="10" spans="1:13">
      <c r="A10" s="792" t="s">
        <v>399</v>
      </c>
      <c r="B10" s="791" t="s">
        <v>161</v>
      </c>
      <c r="M10" s="790"/>
    </row>
    <row r="11" spans="1:13">
      <c r="A11" s="792" t="s">
        <v>399</v>
      </c>
      <c r="B11" s="798" t="s">
        <v>396</v>
      </c>
      <c r="M11" s="790"/>
    </row>
    <row r="12" spans="1:13">
      <c r="A12" s="792" t="s">
        <v>399</v>
      </c>
      <c r="B12" s="799" t="s">
        <v>397</v>
      </c>
    </row>
    <row r="13" spans="1:13" ht="33.75" customHeight="1">
      <c r="A13" s="792" t="s">
        <v>399</v>
      </c>
      <c r="B13" s="791" t="s">
        <v>162</v>
      </c>
    </row>
    <row r="14" spans="1:13" ht="56.25">
      <c r="B14" s="800" t="s">
        <v>542</v>
      </c>
      <c r="C14" s="800"/>
      <c r="D14" s="800"/>
      <c r="E14" s="800"/>
      <c r="F14" s="800"/>
      <c r="G14" s="800"/>
      <c r="H14" s="800"/>
      <c r="I14" s="800"/>
      <c r="J14" s="800"/>
      <c r="K14" s="800"/>
      <c r="L14" s="800"/>
      <c r="M14" s="800"/>
    </row>
    <row r="16" spans="1:13">
      <c r="B16" s="795" t="s">
        <v>152</v>
      </c>
    </row>
    <row r="17" spans="2:13">
      <c r="B17" s="791" t="s">
        <v>403</v>
      </c>
    </row>
    <row r="18" spans="2:13">
      <c r="B18" s="791" t="s">
        <v>153</v>
      </c>
    </row>
    <row r="19" spans="2:13">
      <c r="B19" s="791" t="s">
        <v>154</v>
      </c>
    </row>
    <row r="20" spans="2:13">
      <c r="B20" s="791" t="s">
        <v>155</v>
      </c>
    </row>
    <row r="21" spans="2:13" ht="37.5">
      <c r="B21" s="801" t="s">
        <v>156</v>
      </c>
    </row>
    <row r="22" spans="2:13" ht="21" customHeight="1">
      <c r="B22" s="791" t="s">
        <v>157</v>
      </c>
    </row>
    <row r="23" spans="2:13">
      <c r="B23" s="800" t="s">
        <v>543</v>
      </c>
      <c r="C23" s="800"/>
      <c r="D23" s="800"/>
      <c r="E23" s="800"/>
      <c r="F23" s="800"/>
      <c r="G23" s="800"/>
      <c r="H23" s="800"/>
      <c r="I23" s="800"/>
      <c r="J23" s="800"/>
      <c r="K23" s="800"/>
      <c r="L23" s="800"/>
      <c r="M23" s="800"/>
    </row>
    <row r="25" spans="2:13">
      <c r="B25" s="795" t="s">
        <v>150</v>
      </c>
    </row>
    <row r="26" spans="2:13" ht="15" customHeight="1">
      <c r="B26" s="791" t="s">
        <v>314</v>
      </c>
    </row>
    <row r="27" spans="2:13">
      <c r="B27" s="791" t="s">
        <v>315</v>
      </c>
    </row>
    <row r="28" spans="2:13" ht="37.5">
      <c r="B28" s="801" t="s">
        <v>316</v>
      </c>
    </row>
    <row r="29" spans="2:13" ht="57" customHeight="1">
      <c r="B29" s="791" t="s">
        <v>151</v>
      </c>
    </row>
    <row r="30" spans="2:13" ht="56.25">
      <c r="B30" s="800" t="s">
        <v>544</v>
      </c>
      <c r="C30" s="800"/>
      <c r="D30" s="800"/>
      <c r="E30" s="800"/>
      <c r="F30" s="800"/>
      <c r="G30" s="800"/>
      <c r="H30" s="800"/>
      <c r="I30" s="800"/>
      <c r="J30" s="800"/>
      <c r="K30" s="800"/>
      <c r="L30" s="800"/>
      <c r="M30" s="800"/>
    </row>
    <row r="33" spans="1:12">
      <c r="B33" s="802"/>
      <c r="C33" s="797"/>
      <c r="D33" s="797"/>
      <c r="E33" s="797"/>
      <c r="F33" s="797"/>
      <c r="G33" s="797"/>
      <c r="H33" s="797"/>
      <c r="I33" s="797"/>
      <c r="J33" s="794"/>
      <c r="K33" s="796"/>
      <c r="L33" s="790"/>
    </row>
    <row r="34" spans="1:12">
      <c r="B34" s="793"/>
      <c r="C34" s="790"/>
      <c r="D34" s="794"/>
      <c r="E34" s="796"/>
      <c r="F34" s="790"/>
      <c r="G34" s="796"/>
      <c r="H34" s="796"/>
      <c r="I34" s="796"/>
    </row>
    <row r="35" spans="1:12">
      <c r="A35" s="790"/>
    </row>
  </sheetData>
  <sheetProtection algorithmName="SHA-512" hashValue="KApmnw/N7H91VaYR4WV51mqUIxELdTKGuSiz/PjD0QzRVvWIFH6LF2Q5XCM79oG8fGIoidc7cgDepNR7+iEp6Q==" saltValue="QsiIluGaDsDPhoX1siWM5w==" spinCount="100000" sheet="1" objects="1" scenarios="1"/>
  <hyperlinks>
    <hyperlink ref="B21" r:id="rId1" xr:uid="{267F74FA-D8C7-4F8A-9A45-04922DF88EC7}"/>
    <hyperlink ref="B11" r:id="rId2" xr:uid="{89D4DE10-5F40-405C-B735-415E3D7860B8}"/>
    <hyperlink ref="B28" r:id="rId3" xr:uid="{1AD19985-0BCA-4C23-BAC3-70A2CADC68F9}"/>
    <hyperlink ref="B5" r:id="rId4" xr:uid="{395D854A-A637-44D0-AED5-E59899B01DE2}"/>
  </hyperlinks>
  <pageMargins left="0.75" right="0.75" top="1" bottom="0.5" header="0.25" footer="0.3"/>
  <pageSetup orientation="portrait" horizontalDpi="1200" verticalDpi="1200" r:id="rId5"/>
  <headerFooter>
    <oddHeader>&amp;L&amp;G&amp;C&amp;"-,Bold"&amp;16 2023-2025 planning allocation
to Area Agencies on Aging</oddHeader>
  </headerFooter>
  <legacyDrawingHF r:id="rId6"/>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
    <tabColor indexed="11"/>
  </sheetPr>
  <dimension ref="A1:B105"/>
  <sheetViews>
    <sheetView topLeftCell="A4" workbookViewId="0"/>
  </sheetViews>
  <sheetFormatPr defaultRowHeight="15"/>
  <cols>
    <col min="1" max="1" width="12" customWidth="1"/>
    <col min="2" max="2" width="12.7109375" bestFit="1" customWidth="1"/>
  </cols>
  <sheetData>
    <row r="1" spans="1:1">
      <c r="A1" s="268"/>
    </row>
    <row r="2" spans="1:1">
      <c r="A2" s="270"/>
    </row>
    <row r="3" spans="1:1">
      <c r="A3" s="270"/>
    </row>
    <row r="4" spans="1:1">
      <c r="A4" s="270"/>
    </row>
    <row r="5" spans="1:1">
      <c r="A5" s="269"/>
    </row>
    <row r="6" spans="1:1">
      <c r="A6" s="269"/>
    </row>
    <row r="7" spans="1:1">
      <c r="A7" s="270"/>
    </row>
    <row r="9" spans="1:1">
      <c r="A9" s="269"/>
    </row>
    <row r="10" spans="1:1" ht="27.75">
      <c r="A10" s="271" t="s">
        <v>267</v>
      </c>
    </row>
    <row r="11" spans="1:1">
      <c r="A11" s="272" t="s">
        <v>268</v>
      </c>
    </row>
    <row r="12" spans="1:1">
      <c r="A12" s="273"/>
    </row>
    <row r="13" spans="1:1">
      <c r="A13" s="273"/>
    </row>
    <row r="14" spans="1:1" ht="15.75" thickBot="1">
      <c r="A14" s="273"/>
    </row>
    <row r="15" spans="1:1" ht="15.75" thickBot="1">
      <c r="A15" s="274" t="s">
        <v>269</v>
      </c>
    </row>
    <row r="16" spans="1:1" ht="15.75" thickBot="1">
      <c r="A16" s="274"/>
    </row>
    <row r="17" spans="1:1" ht="15.75" thickBot="1">
      <c r="A17" s="275" t="s">
        <v>270</v>
      </c>
    </row>
    <row r="18" spans="1:1">
      <c r="A18" s="273"/>
    </row>
    <row r="19" spans="1:1">
      <c r="A19" s="273"/>
    </row>
    <row r="20" spans="1:1" ht="15.75" thickBot="1">
      <c r="A20" s="273"/>
    </row>
    <row r="21" spans="1:1" ht="15.75" thickBot="1">
      <c r="A21" s="276" t="s">
        <v>271</v>
      </c>
    </row>
    <row r="22" spans="1:1" ht="15.75" thickBot="1">
      <c r="A22" s="277" t="s">
        <v>272</v>
      </c>
    </row>
    <row r="23" spans="1:1" ht="15.75" thickBot="1">
      <c r="A23" s="274" t="s">
        <v>273</v>
      </c>
    </row>
    <row r="24" spans="1:1">
      <c r="A24" s="278"/>
    </row>
    <row r="25" spans="1:1">
      <c r="A25" s="279" t="s">
        <v>274</v>
      </c>
    </row>
    <row r="26" spans="1:1">
      <c r="A26" s="279" t="s">
        <v>275</v>
      </c>
    </row>
    <row r="27" spans="1:1">
      <c r="A27" s="279" t="s">
        <v>276</v>
      </c>
    </row>
    <row r="28" spans="1:1" ht="15.75" thickBot="1">
      <c r="A28" s="279" t="s">
        <v>277</v>
      </c>
    </row>
    <row r="29" spans="1:1" ht="15.75" thickBot="1">
      <c r="A29" s="280" t="s">
        <v>278</v>
      </c>
    </row>
    <row r="30" spans="1:1" ht="15.75" thickBot="1">
      <c r="A30" s="280"/>
    </row>
    <row r="31" spans="1:1" ht="15.75" thickBot="1">
      <c r="A31" s="280" t="s">
        <v>279</v>
      </c>
    </row>
    <row r="32" spans="1:1" ht="15.75" thickBot="1">
      <c r="A32" s="280"/>
    </row>
    <row r="33" spans="1:2" ht="15.75" thickBot="1">
      <c r="A33" s="281" t="s">
        <v>280</v>
      </c>
    </row>
    <row r="34" spans="1:2" ht="15.75" thickBot="1">
      <c r="A34" s="281" t="s">
        <v>281</v>
      </c>
    </row>
    <row r="35" spans="1:2" ht="15.75" thickBot="1">
      <c r="A35" s="281" t="s">
        <v>282</v>
      </c>
    </row>
    <row r="36" spans="1:2" ht="17.25">
      <c r="A36" s="282" t="s">
        <v>283</v>
      </c>
    </row>
    <row r="37" spans="1:2" ht="17.25">
      <c r="A37" s="282" t="s">
        <v>284</v>
      </c>
    </row>
    <row r="38" spans="1:2" ht="18" thickBot="1">
      <c r="A38" s="911" t="s">
        <v>285</v>
      </c>
      <c r="B38" s="912"/>
    </row>
    <row r="39" spans="1:2" ht="15.75" thickBot="1">
      <c r="A39" s="283" t="s">
        <v>91</v>
      </c>
      <c r="B39" s="283" t="s">
        <v>286</v>
      </c>
    </row>
    <row r="40" spans="1:2" ht="15.75" thickBot="1">
      <c r="A40" s="284" t="s">
        <v>136</v>
      </c>
      <c r="B40" s="285">
        <v>3068.36</v>
      </c>
    </row>
    <row r="41" spans="1:2" ht="15.75" thickBot="1">
      <c r="A41" s="284" t="s">
        <v>108</v>
      </c>
      <c r="B41" s="286">
        <v>675.94</v>
      </c>
    </row>
    <row r="42" spans="1:2" ht="29.25" thickBot="1">
      <c r="A42" s="284" t="s">
        <v>100</v>
      </c>
      <c r="B42" s="285">
        <v>1870.32</v>
      </c>
    </row>
    <row r="43" spans="1:2" ht="15.75" thickBot="1">
      <c r="A43" s="284" t="s">
        <v>93</v>
      </c>
      <c r="B43" s="286">
        <v>829.05</v>
      </c>
    </row>
    <row r="44" spans="1:2" ht="15.75" thickBot="1">
      <c r="A44" s="284" t="s">
        <v>102</v>
      </c>
      <c r="B44" s="286">
        <v>657.36</v>
      </c>
    </row>
    <row r="45" spans="1:2" ht="15.75" thickBot="1">
      <c r="A45" s="284" t="s">
        <v>114</v>
      </c>
      <c r="B45" s="285">
        <v>1596.17</v>
      </c>
    </row>
    <row r="46" spans="1:2" ht="15.75" thickBot="1">
      <c r="A46" s="284" t="s">
        <v>126</v>
      </c>
      <c r="B46" s="285">
        <v>2979.09</v>
      </c>
    </row>
    <row r="47" spans="1:2" ht="15.75" thickBot="1">
      <c r="A47" s="284" t="s">
        <v>115</v>
      </c>
      <c r="B47" s="285">
        <v>1627.46</v>
      </c>
    </row>
    <row r="48" spans="1:2" ht="29.25" thickBot="1">
      <c r="A48" s="284" t="s">
        <v>127</v>
      </c>
      <c r="B48" s="285">
        <v>3018.19</v>
      </c>
    </row>
    <row r="49" spans="1:2" ht="15.75" thickBot="1">
      <c r="A49" s="284" t="s">
        <v>113</v>
      </c>
      <c r="B49" s="285">
        <v>5036.08</v>
      </c>
    </row>
    <row r="50" spans="1:2" ht="15.75" thickBot="1">
      <c r="A50" s="284" t="s">
        <v>120</v>
      </c>
      <c r="B50" s="285">
        <v>1204.81</v>
      </c>
    </row>
    <row r="51" spans="1:2" ht="15.75" thickBot="1">
      <c r="A51" s="284" t="s">
        <v>137</v>
      </c>
      <c r="B51" s="285">
        <v>4528.54</v>
      </c>
    </row>
    <row r="52" spans="1:2" ht="15.75" thickBot="1">
      <c r="A52" s="284" t="s">
        <v>141</v>
      </c>
      <c r="B52" s="285">
        <v>10133.17</v>
      </c>
    </row>
    <row r="53" spans="1:2" ht="29.25" thickBot="1">
      <c r="A53" s="284" t="s">
        <v>121</v>
      </c>
      <c r="B53" s="286">
        <v>521.95000000000005</v>
      </c>
    </row>
    <row r="54" spans="1:2" ht="15.75" thickBot="1">
      <c r="A54" s="284" t="s">
        <v>117</v>
      </c>
      <c r="B54" s="285">
        <v>2783.55</v>
      </c>
    </row>
    <row r="55" spans="1:2" ht="15.75" thickBot="1">
      <c r="A55" s="284" t="s">
        <v>128</v>
      </c>
      <c r="B55" s="285">
        <v>1780.79</v>
      </c>
    </row>
    <row r="56" spans="1:2" ht="15.75" thickBot="1">
      <c r="A56" s="284" t="s">
        <v>118</v>
      </c>
      <c r="B56" s="285">
        <v>1639.67</v>
      </c>
    </row>
    <row r="57" spans="1:2" ht="15.75" thickBot="1">
      <c r="A57" s="284" t="s">
        <v>130</v>
      </c>
      <c r="B57" s="285">
        <v>5941.05</v>
      </c>
    </row>
    <row r="58" spans="1:2" ht="15.75" thickBot="1">
      <c r="A58" s="284" t="s">
        <v>131</v>
      </c>
      <c r="B58" s="285">
        <v>8138.98</v>
      </c>
    </row>
    <row r="59" spans="1:2" ht="15.75" thickBot="1">
      <c r="A59" s="284" t="s">
        <v>111</v>
      </c>
      <c r="B59" s="285">
        <v>4553.12</v>
      </c>
    </row>
    <row r="60" spans="1:2" ht="15.75" thickBot="1">
      <c r="A60" s="284" t="s">
        <v>109</v>
      </c>
      <c r="B60" s="286">
        <v>979.77</v>
      </c>
    </row>
    <row r="61" spans="1:2" ht="15.75" thickBot="1">
      <c r="A61" s="284" t="s">
        <v>110</v>
      </c>
      <c r="B61" s="285">
        <v>2290.13</v>
      </c>
    </row>
    <row r="62" spans="1:2" ht="15.75" thickBot="1">
      <c r="A62" s="284" t="s">
        <v>143</v>
      </c>
      <c r="B62" s="285">
        <v>9887.5300000000007</v>
      </c>
    </row>
    <row r="63" spans="1:2" ht="15.75" thickBot="1">
      <c r="A63" s="284" t="s">
        <v>94</v>
      </c>
      <c r="B63" s="285">
        <v>1182.33</v>
      </c>
    </row>
    <row r="64" spans="1:2" ht="15.75" thickBot="1">
      <c r="A64" s="284" t="s">
        <v>133</v>
      </c>
      <c r="B64" s="285">
        <v>2031.61</v>
      </c>
    </row>
    <row r="65" spans="1:2" ht="29.25" thickBot="1">
      <c r="A65" s="284" t="s">
        <v>104</v>
      </c>
      <c r="B65" s="286">
        <v>431.3</v>
      </c>
    </row>
    <row r="66" spans="1:2" ht="15.75" thickBot="1">
      <c r="A66" s="284" t="s">
        <v>95</v>
      </c>
      <c r="B66" s="286">
        <v>740.79</v>
      </c>
    </row>
    <row r="67" spans="1:2" ht="15.75" thickBot="1">
      <c r="A67" s="284" t="s">
        <v>122</v>
      </c>
      <c r="B67" s="286">
        <v>823.69</v>
      </c>
    </row>
    <row r="68" spans="1:2" ht="15.75" thickBot="1">
      <c r="A68" s="284" t="s">
        <v>96</v>
      </c>
      <c r="B68" s="285">
        <v>1102.58</v>
      </c>
    </row>
    <row r="69" spans="1:2" ht="15.75" thickBot="1">
      <c r="A69" s="284" t="s">
        <v>134</v>
      </c>
      <c r="B69" s="285">
        <v>3215.51</v>
      </c>
    </row>
    <row r="70" spans="1:2" ht="15.75" thickBot="1">
      <c r="A70" s="284" t="s">
        <v>138</v>
      </c>
      <c r="B70" s="285">
        <v>2036.61</v>
      </c>
    </row>
    <row r="71" spans="1:2" ht="15.75" thickBot="1">
      <c r="A71" s="284" t="s">
        <v>139</v>
      </c>
      <c r="B71" s="285">
        <v>3146.19</v>
      </c>
    </row>
    <row r="72" spans="1:2" ht="15.75" thickBot="1">
      <c r="A72" s="284" t="s">
        <v>123</v>
      </c>
      <c r="B72" s="285">
        <v>2381.52</v>
      </c>
    </row>
    <row r="73" spans="1:2" ht="29.25" thickBot="1">
      <c r="A73" s="284" t="s">
        <v>106</v>
      </c>
      <c r="B73" s="286">
        <v>724.23</v>
      </c>
    </row>
    <row r="74" spans="1:2" ht="15.75" thickBot="1">
      <c r="A74" s="284" t="s">
        <v>124</v>
      </c>
      <c r="B74" s="285">
        <v>1714.75</v>
      </c>
    </row>
    <row r="75" spans="1:2" ht="15.75" thickBot="1">
      <c r="A75" s="284" t="s">
        <v>97</v>
      </c>
      <c r="B75" s="286">
        <v>715.86</v>
      </c>
    </row>
    <row r="76" spans="1:2">
      <c r="A76" s="287"/>
    </row>
    <row r="77" spans="1:2">
      <c r="A77" s="288" t="s">
        <v>287</v>
      </c>
    </row>
    <row r="78" spans="1:2">
      <c r="A78" s="287"/>
    </row>
    <row r="79" spans="1:2">
      <c r="A79" s="288" t="s">
        <v>288</v>
      </c>
    </row>
    <row r="80" spans="1:2">
      <c r="A80" s="287"/>
    </row>
    <row r="81" spans="1:1">
      <c r="A81" s="288" t="s">
        <v>289</v>
      </c>
    </row>
    <row r="82" spans="1:1">
      <c r="A82" s="287"/>
    </row>
    <row r="83" spans="1:1">
      <c r="A83" s="288" t="s">
        <v>290</v>
      </c>
    </row>
    <row r="84" spans="1:1">
      <c r="A84" s="287"/>
    </row>
    <row r="85" spans="1:1">
      <c r="A85" s="288" t="s">
        <v>291</v>
      </c>
    </row>
    <row r="86" spans="1:1">
      <c r="A86" s="287"/>
    </row>
    <row r="87" spans="1:1">
      <c r="A87" s="288" t="s">
        <v>292</v>
      </c>
    </row>
    <row r="88" spans="1:1">
      <c r="A88" s="287"/>
    </row>
    <row r="89" spans="1:1">
      <c r="A89" s="288" t="s">
        <v>293</v>
      </c>
    </row>
    <row r="90" spans="1:1">
      <c r="A90" s="287"/>
    </row>
    <row r="91" spans="1:1">
      <c r="A91" s="289" t="s">
        <v>294</v>
      </c>
    </row>
    <row r="92" spans="1:1">
      <c r="A92" s="287"/>
    </row>
    <row r="93" spans="1:1">
      <c r="A93" s="289" t="s">
        <v>295</v>
      </c>
    </row>
    <row r="94" spans="1:1">
      <c r="A94" s="287"/>
    </row>
    <row r="95" spans="1:1">
      <c r="A95" s="289" t="s">
        <v>296</v>
      </c>
    </row>
    <row r="96" spans="1:1">
      <c r="A96" s="287"/>
    </row>
    <row r="97" spans="1:1">
      <c r="A97" s="289" t="s">
        <v>297</v>
      </c>
    </row>
    <row r="98" spans="1:1">
      <c r="A98" s="287"/>
    </row>
    <row r="99" spans="1:1">
      <c r="A99" s="288" t="s">
        <v>298</v>
      </c>
    </row>
    <row r="100" spans="1:1">
      <c r="A100" s="278"/>
    </row>
    <row r="101" spans="1:1">
      <c r="A101" s="279" t="s">
        <v>299</v>
      </c>
    </row>
    <row r="102" spans="1:1">
      <c r="A102" s="279" t="s">
        <v>300</v>
      </c>
    </row>
    <row r="103" spans="1:1">
      <c r="A103" s="272"/>
    </row>
    <row r="104" spans="1:1">
      <c r="A104" s="269"/>
    </row>
    <row r="105" spans="1:1">
      <c r="A105" s="272"/>
    </row>
  </sheetData>
  <mergeCells count="1">
    <mergeCell ref="A38:B38"/>
  </mergeCells>
  <hyperlinks>
    <hyperlink ref="A17" r:id="rId1" display="http://www.indexmundi.com/facts/united-states/quick-facts/all-states/land-area/embed/table" xr:uid="{00000000-0004-0000-1A00-000000000000}"/>
    <hyperlink ref="A25" r:id="rId2" display="http://www.indexmundi.com/facts/united-states/quick-facts/compare" xr:uid="{00000000-0004-0000-1A00-000001000000}"/>
    <hyperlink ref="A26" r:id="rId3" display="http://www.indexmundi.com/facts/united-states/quick-facts/counties/compare" xr:uid="{00000000-0004-0000-1A00-000002000000}"/>
    <hyperlink ref="A27" r:id="rId4" display="http://www.indexmundi.com/facts/united-states/quick-facts/cities/compare" xr:uid="{00000000-0004-0000-1A00-000003000000}"/>
    <hyperlink ref="A28" r:id="rId5" display="http://www.indexmundi.com/facts/united-states/quick-facts/cities/rank/land-area" xr:uid="{00000000-0004-0000-1A00-000004000000}"/>
    <hyperlink ref="A33" r:id="rId6" location="mapTab" display="http://www.indexmundi.com/facts/united-states/quick-facts/oregon/land-area - mapTab" xr:uid="{00000000-0004-0000-1A00-000005000000}"/>
    <hyperlink ref="A34" r:id="rId7" location="chartTab" display="http://www.indexmundi.com/facts/united-states/quick-facts/oregon/land-area - chartTab" xr:uid="{00000000-0004-0000-1A00-000006000000}"/>
    <hyperlink ref="A35" r:id="rId8" location="tableTab" display="http://www.indexmundi.com/facts/united-states/quick-facts/oregon/land-area - tableTab" xr:uid="{00000000-0004-0000-1A00-000007000000}"/>
    <hyperlink ref="A101" r:id="rId9" display="http://www.census.gov/population/www/censusdata/density.html" xr:uid="{00000000-0004-0000-1A00-000008000000}"/>
    <hyperlink ref="A102" r:id="rId10" display="http://www.census.gov/geo/www/gazetteer/gazette.html" xr:uid="{00000000-0004-0000-1A00-000009000000}"/>
  </hyperlinks>
  <pageMargins left="0.75" right="0.75" top="1.5" bottom="0.5" header="0.25" footer="0.5"/>
  <pageSetup scale="47" orientation="portrait" r:id="rId11"/>
  <headerFooter alignWithMargins="0">
    <oddHeader>&amp;L&amp;G&amp;C&amp;"Arial Black,Bold"&amp;14
AAA 2017-2019 PLANNING ALLOCATION
Summary by Funding Source</oddHeader>
    <oddFooter>&amp;L&amp;Z&amp;F&amp;A&amp;R&amp;"Century Gothic,Regular"Page &amp;P</oddFooter>
  </headerFooter>
  <drawing r:id="rId12"/>
  <legacyDrawing r:id="rId13"/>
  <controls>
    <mc:AlternateContent xmlns:mc="http://schemas.openxmlformats.org/markup-compatibility/2006">
      <mc:Choice Requires="x14">
        <control shapeId="26626" r:id="rId14" name="Control 2">
          <controlPr defaultSize="0" r:id="rId15">
            <anchor moveWithCells="1">
              <from>
                <xdr:col>0</xdr:col>
                <xdr:colOff>0</xdr:colOff>
                <xdr:row>3</xdr:row>
                <xdr:rowOff>47625</xdr:rowOff>
              </from>
              <to>
                <xdr:col>1</xdr:col>
                <xdr:colOff>114300</xdr:colOff>
                <xdr:row>4</xdr:row>
                <xdr:rowOff>85725</xdr:rowOff>
              </to>
            </anchor>
          </controlPr>
        </control>
      </mc:Choice>
      <mc:Fallback>
        <control shapeId="26626" r:id="rId14" name="Control 2"/>
      </mc:Fallback>
    </mc:AlternateContent>
    <mc:AlternateContent xmlns:mc="http://schemas.openxmlformats.org/markup-compatibility/2006">
      <mc:Choice Requires="x14">
        <control shapeId="26627" r:id="rId16" name="Control 3">
          <controlPr defaultSize="0" r:id="rId17">
            <anchor moveWithCells="1">
              <from>
                <xdr:col>1</xdr:col>
                <xdr:colOff>0</xdr:colOff>
                <xdr:row>3</xdr:row>
                <xdr:rowOff>47625</xdr:rowOff>
              </from>
              <to>
                <xdr:col>2</xdr:col>
                <xdr:colOff>66675</xdr:colOff>
                <xdr:row>4</xdr:row>
                <xdr:rowOff>85725</xdr:rowOff>
              </to>
            </anchor>
          </controlPr>
        </control>
      </mc:Choice>
      <mc:Fallback>
        <control shapeId="26627" r:id="rId16" name="Control 3"/>
      </mc:Fallback>
    </mc:AlternateContent>
    <mc:AlternateContent xmlns:mc="http://schemas.openxmlformats.org/markup-compatibility/2006">
      <mc:Choice Requires="x14">
        <control shapeId="26628" r:id="rId18" name="Control 4">
          <controlPr defaultSize="0" r:id="rId19">
            <anchor moveWithCells="1">
              <from>
                <xdr:col>1</xdr:col>
                <xdr:colOff>0</xdr:colOff>
                <xdr:row>3</xdr:row>
                <xdr:rowOff>47625</xdr:rowOff>
              </from>
              <to>
                <xdr:col>2</xdr:col>
                <xdr:colOff>447675</xdr:colOff>
                <xdr:row>4</xdr:row>
                <xdr:rowOff>85725</xdr:rowOff>
              </to>
            </anchor>
          </controlPr>
        </control>
      </mc:Choice>
      <mc:Fallback>
        <control shapeId="26628" r:id="rId18" name="Control 4"/>
      </mc:Fallback>
    </mc:AlternateContent>
    <mc:AlternateContent xmlns:mc="http://schemas.openxmlformats.org/markup-compatibility/2006">
      <mc:Choice Requires="x14">
        <control shapeId="26629" r:id="rId20" name="Control 5">
          <controlPr defaultSize="0" r:id="rId21">
            <anchor moveWithCells="1">
              <from>
                <xdr:col>1</xdr:col>
                <xdr:colOff>0</xdr:colOff>
                <xdr:row>3</xdr:row>
                <xdr:rowOff>47625</xdr:rowOff>
              </from>
              <to>
                <xdr:col>1</xdr:col>
                <xdr:colOff>552450</xdr:colOff>
                <xdr:row>4</xdr:row>
                <xdr:rowOff>180975</xdr:rowOff>
              </to>
            </anchor>
          </controlPr>
        </control>
      </mc:Choice>
      <mc:Fallback>
        <control shapeId="26629" r:id="rId20" name="Control 5"/>
      </mc:Fallback>
    </mc:AlternateContent>
    <mc:AlternateContent xmlns:mc="http://schemas.openxmlformats.org/markup-compatibility/2006">
      <mc:Choice Requires="x14">
        <control shapeId="26630" r:id="rId22" name="Control 6">
          <controlPr defaultSize="0" r:id="rId23">
            <anchor moveWithCells="1">
              <from>
                <xdr:col>0</xdr:col>
                <xdr:colOff>0</xdr:colOff>
                <xdr:row>4</xdr:row>
                <xdr:rowOff>47625</xdr:rowOff>
              </from>
              <to>
                <xdr:col>1</xdr:col>
                <xdr:colOff>114300</xdr:colOff>
                <xdr:row>5</xdr:row>
                <xdr:rowOff>85725</xdr:rowOff>
              </to>
            </anchor>
          </controlPr>
        </control>
      </mc:Choice>
      <mc:Fallback>
        <control shapeId="26630" r:id="rId22" name="Control 6"/>
      </mc:Fallback>
    </mc:AlternateContent>
    <mc:AlternateContent xmlns:mc="http://schemas.openxmlformats.org/markup-compatibility/2006">
      <mc:Choice Requires="x14">
        <control shapeId="26631" r:id="rId24" name="Control 7">
          <controlPr defaultSize="0" r:id="rId23">
            <anchor moveWithCells="1">
              <from>
                <xdr:col>0</xdr:col>
                <xdr:colOff>0</xdr:colOff>
                <xdr:row>6</xdr:row>
                <xdr:rowOff>76200</xdr:rowOff>
              </from>
              <to>
                <xdr:col>1</xdr:col>
                <xdr:colOff>114300</xdr:colOff>
                <xdr:row>7</xdr:row>
                <xdr:rowOff>114300</xdr:rowOff>
              </to>
            </anchor>
          </controlPr>
        </control>
      </mc:Choice>
      <mc:Fallback>
        <control shapeId="26631" r:id="rId24" name="Control 7"/>
      </mc:Fallback>
    </mc:AlternateContent>
    <mc:AlternateContent xmlns:mc="http://schemas.openxmlformats.org/markup-compatibility/2006">
      <mc:Choice Requires="x14">
        <control shapeId="26632" r:id="rId25" name="Control 8">
          <controlPr defaultSize="0" r:id="rId23">
            <anchor moveWithCells="1">
              <from>
                <xdr:col>1</xdr:col>
                <xdr:colOff>0</xdr:colOff>
                <xdr:row>6</xdr:row>
                <xdr:rowOff>76200</xdr:rowOff>
              </from>
              <to>
                <xdr:col>2</xdr:col>
                <xdr:colOff>66675</xdr:colOff>
                <xdr:row>7</xdr:row>
                <xdr:rowOff>114300</xdr:rowOff>
              </to>
            </anchor>
          </controlPr>
        </control>
      </mc:Choice>
      <mc:Fallback>
        <control shapeId="26632" r:id="rId25" name="Control 8"/>
      </mc:Fallback>
    </mc:AlternateContent>
    <mc:AlternateContent xmlns:mc="http://schemas.openxmlformats.org/markup-compatibility/2006">
      <mc:Choice Requires="x14">
        <control shapeId="26636" r:id="rId26" name="Control 12">
          <controlPr defaultSize="0" r:id="rId27">
            <anchor moveWithCells="1">
              <from>
                <xdr:col>0</xdr:col>
                <xdr:colOff>0</xdr:colOff>
                <xdr:row>15</xdr:row>
                <xdr:rowOff>180975</xdr:rowOff>
              </from>
              <to>
                <xdr:col>1</xdr:col>
                <xdr:colOff>666750</xdr:colOff>
                <xdr:row>17</xdr:row>
                <xdr:rowOff>9525</xdr:rowOff>
              </to>
            </anchor>
          </controlPr>
        </control>
      </mc:Choice>
      <mc:Fallback>
        <control shapeId="26636" r:id="rId26" name="Control 12"/>
      </mc:Fallback>
    </mc:AlternateContent>
    <mc:AlternateContent xmlns:mc="http://schemas.openxmlformats.org/markup-compatibility/2006">
      <mc:Choice Requires="x14">
        <control shapeId="26641" r:id="rId28" name="Control 17">
          <controlPr defaultSize="0" r:id="rId29">
            <anchor moveWithCells="1">
              <from>
                <xdr:col>0</xdr:col>
                <xdr:colOff>0</xdr:colOff>
                <xdr:row>30</xdr:row>
                <xdr:rowOff>66675</xdr:rowOff>
              </from>
              <to>
                <xdr:col>7</xdr:col>
                <xdr:colOff>400050</xdr:colOff>
                <xdr:row>31</xdr:row>
                <xdr:rowOff>95250</xdr:rowOff>
              </to>
            </anchor>
          </controlPr>
        </control>
      </mc:Choice>
      <mc:Fallback>
        <control shapeId="26641" r:id="rId28" name="Control 17"/>
      </mc:Fallback>
    </mc:AlternateContent>
    <mc:AlternateContent xmlns:mc="http://schemas.openxmlformats.org/markup-compatibility/2006">
      <mc:Choice Requires="x14">
        <control shapeId="26642" r:id="rId30" name="Control 18">
          <controlPr defaultSize="0" r:id="rId31">
            <anchor moveWithCells="1">
              <from>
                <xdr:col>0</xdr:col>
                <xdr:colOff>0</xdr:colOff>
                <xdr:row>32</xdr:row>
                <xdr:rowOff>66675</xdr:rowOff>
              </from>
              <to>
                <xdr:col>2</xdr:col>
                <xdr:colOff>504825</xdr:colOff>
                <xdr:row>33</xdr:row>
                <xdr:rowOff>95250</xdr:rowOff>
              </to>
            </anchor>
          </controlPr>
        </control>
      </mc:Choice>
      <mc:Fallback>
        <control shapeId="26642" r:id="rId30" name="Control 18"/>
      </mc:Fallback>
    </mc:AlternateContent>
    <mc:AlternateContent xmlns:mc="http://schemas.openxmlformats.org/markup-compatibility/2006">
      <mc:Choice Requires="x14">
        <control shapeId="26649" r:id="rId32" name="Control 25">
          <controlPr defaultSize="0" r:id="rId33">
            <anchor moveWithCells="1">
              <from>
                <xdr:col>0</xdr:col>
                <xdr:colOff>0</xdr:colOff>
                <xdr:row>106</xdr:row>
                <xdr:rowOff>38100</xdr:rowOff>
              </from>
              <to>
                <xdr:col>1</xdr:col>
                <xdr:colOff>114300</xdr:colOff>
                <xdr:row>107</xdr:row>
                <xdr:rowOff>76200</xdr:rowOff>
              </to>
            </anchor>
          </controlPr>
        </control>
      </mc:Choice>
      <mc:Fallback>
        <control shapeId="26649" r:id="rId32" name="Control 25"/>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Q31"/>
  <sheetViews>
    <sheetView showGridLines="0" zoomScaleNormal="100" zoomScaleSheetLayoutView="75" zoomScalePageLayoutView="50" workbookViewId="0">
      <selection activeCell="H3" sqref="H3"/>
    </sheetView>
  </sheetViews>
  <sheetFormatPr defaultRowHeight="15"/>
  <cols>
    <col min="1" max="1" width="14.5703125" style="26" customWidth="1" collapsed="1"/>
    <col min="2" max="2" width="15.140625" customWidth="1" collapsed="1"/>
    <col min="3" max="3" width="12.140625" style="92" customWidth="1" collapsed="1"/>
    <col min="4" max="4" width="16" customWidth="1" collapsed="1"/>
    <col min="5" max="5" width="14.5703125" style="92" customWidth="1" collapsed="1"/>
    <col min="6" max="6" width="16.28515625" customWidth="1" collapsed="1"/>
    <col min="7" max="7" width="17.28515625" style="92" customWidth="1" collapsed="1"/>
    <col min="8" max="8" width="17.85546875" customWidth="1" collapsed="1"/>
    <col min="9" max="9" width="13.28515625" style="92" customWidth="1" collapsed="1"/>
    <col min="10" max="10" width="14" customWidth="1" collapsed="1"/>
    <col min="11" max="11" width="11.5703125" style="92" customWidth="1" collapsed="1"/>
    <col min="12" max="12" width="11.28515625" customWidth="1" collapsed="1"/>
    <col min="13" max="13" width="14.28515625" customWidth="1" collapsed="1"/>
    <col min="14" max="14" width="11.5703125" customWidth="1" collapsed="1"/>
    <col min="15" max="15" width="10.42578125" customWidth="1" collapsed="1"/>
    <col min="16" max="16" width="11.42578125" customWidth="1" collapsed="1"/>
    <col min="17" max="17" width="11" customWidth="1" collapsed="1"/>
  </cols>
  <sheetData>
    <row r="1" spans="1:12" ht="57" customHeight="1" thickTop="1" thickBot="1">
      <c r="A1" s="187"/>
      <c r="B1" s="188"/>
      <c r="C1" s="189"/>
      <c r="D1" s="701" t="s">
        <v>251</v>
      </c>
      <c r="E1" s="702"/>
      <c r="F1" s="703" t="s">
        <v>220</v>
      </c>
      <c r="G1" s="704"/>
      <c r="H1" s="701" t="s">
        <v>21</v>
      </c>
      <c r="I1" s="702"/>
      <c r="J1" s="729" t="s">
        <v>464</v>
      </c>
      <c r="K1" s="705"/>
    </row>
    <row r="2" spans="1:12" s="140" customFormat="1" ht="91.15" customHeight="1" thickTop="1">
      <c r="A2" s="155" t="s">
        <v>58</v>
      </c>
      <c r="B2" s="156" t="s">
        <v>230</v>
      </c>
      <c r="C2" s="157" t="s">
        <v>225</v>
      </c>
      <c r="D2" s="156" t="s">
        <v>226</v>
      </c>
      <c r="E2" s="157" t="s">
        <v>227</v>
      </c>
      <c r="F2" s="156" t="s">
        <v>228</v>
      </c>
      <c r="G2" s="157" t="s">
        <v>229</v>
      </c>
      <c r="H2" s="156" t="s">
        <v>226</v>
      </c>
      <c r="I2" s="157" t="s">
        <v>229</v>
      </c>
      <c r="J2" s="158" t="s">
        <v>431</v>
      </c>
      <c r="K2" s="181" t="s">
        <v>77</v>
      </c>
    </row>
    <row r="3" spans="1:12" ht="18.75">
      <c r="A3" s="159" t="s">
        <v>72</v>
      </c>
      <c r="B3" s="160">
        <f>PopulationData!Q51</f>
        <v>11893.84</v>
      </c>
      <c r="C3" s="161">
        <f t="shared" ref="C3:C18" si="0">B3/$B$19</f>
        <v>0.12390959082927511</v>
      </c>
      <c r="D3" s="160">
        <f>PopulationData!O51</f>
        <v>53519.548958423526</v>
      </c>
      <c r="E3" s="161">
        <f t="shared" ref="E3:E18" si="1">D3/$D$19</f>
        <v>3.5024504194200834E-2</v>
      </c>
      <c r="F3" s="182">
        <f>PopulationData!R51</f>
        <v>16019.347895388983</v>
      </c>
      <c r="G3" s="183">
        <f t="shared" ref="G3:G18" si="2">F3/$F$19</f>
        <v>3.5568576624560991E-2</v>
      </c>
      <c r="H3" s="184">
        <f>PopulationData!O51-PopulationData!E51+PopulationData!P51</f>
        <v>76544.10727493887</v>
      </c>
      <c r="I3" s="183">
        <f t="shared" ref="I3:I18" si="3">H3/$H$19</f>
        <v>3.9929556545382335E-2</v>
      </c>
      <c r="J3" s="555">
        <f>62999+48289</f>
        <v>111288</v>
      </c>
      <c r="K3" s="173">
        <f t="shared" ref="K3:K18" si="4">J3/$J$19</f>
        <v>4.6701424442124273E-2</v>
      </c>
      <c r="L3" t="s">
        <v>213</v>
      </c>
    </row>
    <row r="4" spans="1:12" ht="18.75">
      <c r="A4" s="159" t="s">
        <v>61</v>
      </c>
      <c r="B4" s="160">
        <f>PopulationData!Q12</f>
        <v>657.36</v>
      </c>
      <c r="C4" s="161">
        <f t="shared" si="0"/>
        <v>6.8483524772094025E-3</v>
      </c>
      <c r="D4" s="160">
        <f>PopulationData!O12</f>
        <v>20022.088405544506</v>
      </c>
      <c r="E4" s="161">
        <f t="shared" si="1"/>
        <v>1.3102945241213219E-2</v>
      </c>
      <c r="F4" s="182">
        <f>PopulationData!R12</f>
        <v>5080.7850018699874</v>
      </c>
      <c r="G4" s="183">
        <f t="shared" si="2"/>
        <v>1.1281126537238784E-2</v>
      </c>
      <c r="H4" s="184">
        <f>PopulationData!O12-PopulationData!E12+PopulationData!P12</f>
        <v>23727.246766572163</v>
      </c>
      <c r="I4" s="183">
        <f t="shared" si="3"/>
        <v>1.2377418395240408E-2</v>
      </c>
      <c r="J4" s="555">
        <f>34084+24190</f>
        <v>58274</v>
      </c>
      <c r="K4" s="173">
        <f t="shared" si="4"/>
        <v>2.4454377901843415E-2</v>
      </c>
    </row>
    <row r="5" spans="1:12" ht="18.75">
      <c r="A5" s="159" t="s">
        <v>73</v>
      </c>
      <c r="B5" s="160">
        <f>PopulationData!Q57</f>
        <v>12779.7</v>
      </c>
      <c r="C5" s="161">
        <f t="shared" si="0"/>
        <v>0.13313844796305374</v>
      </c>
      <c r="D5" s="160">
        <f>PopulationData!O57</f>
        <v>28987.229649858069</v>
      </c>
      <c r="E5" s="161">
        <f t="shared" si="1"/>
        <v>1.8969953338702845E-2</v>
      </c>
      <c r="F5" s="182">
        <f>PopulationData!R57</f>
        <v>8367.4777800666816</v>
      </c>
      <c r="G5" s="183">
        <f t="shared" si="2"/>
        <v>1.8578738442922519E-2</v>
      </c>
      <c r="H5" s="184">
        <f>PopulationData!O57-PopulationData!E57+PopulationData!P57</f>
        <v>36576.679987872601</v>
      </c>
      <c r="I5" s="183">
        <f t="shared" si="3"/>
        <v>1.9080379454582644E-2</v>
      </c>
      <c r="J5" s="555">
        <f>50315+40719</f>
        <v>91034</v>
      </c>
      <c r="K5" s="173">
        <f t="shared" si="4"/>
        <v>3.8201939765871801E-2</v>
      </c>
    </row>
    <row r="6" spans="1:12" ht="18.75">
      <c r="A6" s="159" t="s">
        <v>60</v>
      </c>
      <c r="B6" s="160">
        <f>PopulationData!Q10</f>
        <v>1870.32</v>
      </c>
      <c r="C6" s="161">
        <f t="shared" si="0"/>
        <v>1.9484925467284728E-2</v>
      </c>
      <c r="D6" s="160">
        <f>PopulationData!O10</f>
        <v>160174.01036252599</v>
      </c>
      <c r="E6" s="161">
        <f t="shared" si="1"/>
        <v>0.10482179702415617</v>
      </c>
      <c r="F6" s="182">
        <f>PopulationData!R10</f>
        <v>39528.221459428707</v>
      </c>
      <c r="G6" s="183">
        <f t="shared" si="2"/>
        <v>8.7766529760989767E-2</v>
      </c>
      <c r="H6" s="184">
        <f>PopulationData!O10-PopulationData!E10+PopulationData!P10</f>
        <v>186167.12733509872</v>
      </c>
      <c r="I6" s="183">
        <f t="shared" si="3"/>
        <v>9.7114867524910387E-2</v>
      </c>
      <c r="J6" s="555">
        <f>171613+56915</f>
        <v>228528</v>
      </c>
      <c r="K6" s="173">
        <f t="shared" si="4"/>
        <v>9.5900574409727699E-2</v>
      </c>
    </row>
    <row r="7" spans="1:12" ht="18.75">
      <c r="A7" s="804" t="s">
        <v>541</v>
      </c>
      <c r="B7" s="160">
        <f>PopulationData!Q38</f>
        <v>7778.0700000000006</v>
      </c>
      <c r="C7" s="161">
        <f t="shared" si="0"/>
        <v>8.1031649252172544E-2</v>
      </c>
      <c r="D7" s="160">
        <f>PopulationData!O38</f>
        <v>93281.008848851881</v>
      </c>
      <c r="E7" s="161">
        <f t="shared" si="1"/>
        <v>6.104537779651225E-2</v>
      </c>
      <c r="F7" s="182">
        <f>PopulationData!R38</f>
        <v>26052.683213133339</v>
      </c>
      <c r="G7" s="183">
        <f t="shared" si="2"/>
        <v>5.7846103673700501E-2</v>
      </c>
      <c r="H7" s="184">
        <f>PopulationData!O38-PopulationData!E38+PopulationData!P38</f>
        <v>115775.33244809302</v>
      </c>
      <c r="I7" s="183">
        <f t="shared" si="3"/>
        <v>6.0394690696982341E-2</v>
      </c>
      <c r="J7" s="555">
        <f>67142+39764</f>
        <v>106906</v>
      </c>
      <c r="K7" s="173">
        <f t="shared" si="4"/>
        <v>4.4862541167149536E-2</v>
      </c>
    </row>
    <row r="8" spans="1:12" ht="18.75">
      <c r="A8" s="159" t="s">
        <v>169</v>
      </c>
      <c r="B8" s="160">
        <f>PopulationData!Q25</f>
        <v>5036.08</v>
      </c>
      <c r="C8" s="161">
        <f t="shared" si="0"/>
        <v>5.2465697552976642E-2</v>
      </c>
      <c r="D8" s="160">
        <f>PopulationData!O25</f>
        <v>58453.958664556922</v>
      </c>
      <c r="E8" s="161">
        <f t="shared" si="1"/>
        <v>3.8253702810628509E-2</v>
      </c>
      <c r="F8" s="182">
        <f>PopulationData!R25</f>
        <v>18074.81754000175</v>
      </c>
      <c r="G8" s="183">
        <f t="shared" si="2"/>
        <v>4.0132440898643734E-2</v>
      </c>
      <c r="H8" s="184">
        <f>PopulationData!O25-PopulationData!E25+PopulationData!P25</f>
        <v>75661.073741424916</v>
      </c>
      <c r="I8" s="183">
        <f t="shared" si="3"/>
        <v>3.9468918376577691E-2</v>
      </c>
      <c r="J8" s="555">
        <f>32533+34497</f>
        <v>67030</v>
      </c>
      <c r="K8" s="173">
        <f t="shared" si="4"/>
        <v>2.8128787293828537E-2</v>
      </c>
    </row>
    <row r="9" spans="1:12" ht="18.75">
      <c r="A9" s="159" t="s">
        <v>74</v>
      </c>
      <c r="B9" s="160">
        <f>PopulationData!Q59</f>
        <v>10133.17</v>
      </c>
      <c r="C9" s="161">
        <f t="shared" si="0"/>
        <v>0.10556699505823902</v>
      </c>
      <c r="D9" s="160">
        <f>PopulationData!O59</f>
        <v>3589.8080041051167</v>
      </c>
      <c r="E9" s="161">
        <f t="shared" si="1"/>
        <v>2.3492583166915188E-3</v>
      </c>
      <c r="F9" s="182">
        <f>PopulationData!R59</f>
        <v>1051.0595133086285</v>
      </c>
      <c r="G9" s="183">
        <f t="shared" si="2"/>
        <v>2.3337211402252251E-3</v>
      </c>
      <c r="H9" s="184">
        <f>PopulationData!O59-PopulationData!E59+PopulationData!P59</f>
        <v>4510.6623941347116</v>
      </c>
      <c r="I9" s="183">
        <f t="shared" si="3"/>
        <v>2.3530060710852479E-3</v>
      </c>
      <c r="J9" s="555">
        <f>5350+7484</f>
        <v>12834</v>
      </c>
      <c r="K9" s="173">
        <f t="shared" si="4"/>
        <v>5.3857206643144178E-3</v>
      </c>
    </row>
    <row r="10" spans="1:12" ht="18.75">
      <c r="A10" s="159" t="s">
        <v>71</v>
      </c>
      <c r="B10" s="160">
        <f>PopulationData!Q42</f>
        <v>14080.029999999999</v>
      </c>
      <c r="C10" s="161">
        <f t="shared" si="0"/>
        <v>0.14668523842290784</v>
      </c>
      <c r="D10" s="160">
        <f>PopulationData!O42</f>
        <v>34590.664973565348</v>
      </c>
      <c r="E10" s="161">
        <f t="shared" si="1"/>
        <v>2.263697871198431E-2</v>
      </c>
      <c r="F10" s="182">
        <f>PopulationData!R42</f>
        <v>10738.867531028998</v>
      </c>
      <c r="G10" s="183">
        <f t="shared" si="2"/>
        <v>2.3844056270752468E-2</v>
      </c>
      <c r="H10" s="184">
        <f>PopulationData!O42-PopulationData!E42+PopulationData!P42</f>
        <v>44457.852143319556</v>
      </c>
      <c r="I10" s="183">
        <f t="shared" si="3"/>
        <v>2.3191626164854807E-2</v>
      </c>
      <c r="J10" s="555">
        <f>60857+29820</f>
        <v>90677</v>
      </c>
      <c r="K10" s="173">
        <f t="shared" si="4"/>
        <v>3.8052126591712518E-2</v>
      </c>
    </row>
    <row r="11" spans="1:12" ht="18.75">
      <c r="A11" s="159" t="s">
        <v>65</v>
      </c>
      <c r="B11" s="160">
        <f>PopulationData!Q23</f>
        <v>4553.12</v>
      </c>
      <c r="C11" s="161">
        <f t="shared" si="0"/>
        <v>4.7434237907739554E-2</v>
      </c>
      <c r="D11" s="160">
        <f>PopulationData!O23</f>
        <v>148168.84271637542</v>
      </c>
      <c r="E11" s="161">
        <f t="shared" si="1"/>
        <v>9.6965321161451692E-2</v>
      </c>
      <c r="F11" s="182">
        <f>PopulationData!R23</f>
        <v>41504.198761322419</v>
      </c>
      <c r="G11" s="183">
        <f t="shared" si="2"/>
        <v>9.2153893124952299E-2</v>
      </c>
      <c r="H11" s="184">
        <f>PopulationData!O23-PopulationData!E23+PopulationData!P23</f>
        <v>185123.25497670332</v>
      </c>
      <c r="I11" s="183">
        <f t="shared" si="3"/>
        <v>9.6570327104431058E-2</v>
      </c>
      <c r="J11" s="555">
        <f>122320+66259</f>
        <v>188579</v>
      </c>
      <c r="K11" s="173">
        <f t="shared" si="4"/>
        <v>7.9136186469981967E-2</v>
      </c>
    </row>
    <row r="12" spans="1:12" ht="18.75">
      <c r="A12" s="159" t="s">
        <v>178</v>
      </c>
      <c r="B12" s="160">
        <f>PopulationData!Q14</f>
        <v>431.3</v>
      </c>
      <c r="C12" s="161">
        <f t="shared" si="0"/>
        <v>4.4932676515462081E-3</v>
      </c>
      <c r="D12" s="160">
        <f>PopulationData!O14</f>
        <v>229504.36748472252</v>
      </c>
      <c r="E12" s="161">
        <f t="shared" si="1"/>
        <v>0.1501932814830069</v>
      </c>
      <c r="F12" s="182">
        <f>PopulationData!R14</f>
        <v>71079.11695238117</v>
      </c>
      <c r="G12" s="183">
        <f t="shared" si="2"/>
        <v>0.15782059508518542</v>
      </c>
      <c r="H12" s="184">
        <f>PopulationData!O14-PopulationData!E14+PopulationData!P14</f>
        <v>286051.69557871053</v>
      </c>
      <c r="I12" s="183">
        <f t="shared" si="3"/>
        <v>0.14922007402197818</v>
      </c>
      <c r="J12" s="555">
        <f>365328+161230</f>
        <v>526558</v>
      </c>
      <c r="K12" s="173">
        <f t="shared" si="4"/>
        <v>0.22096729792426922</v>
      </c>
    </row>
    <row r="13" spans="1:12" ht="18.75">
      <c r="A13" s="159" t="s">
        <v>75</v>
      </c>
      <c r="B13" s="160">
        <f>PopulationData!Q61</f>
        <v>9887.5300000000007</v>
      </c>
      <c r="C13" s="161">
        <f t="shared" si="0"/>
        <v>0.10300792650751839</v>
      </c>
      <c r="D13" s="160">
        <f>PopulationData!O61</f>
        <v>12081.282258795331</v>
      </c>
      <c r="E13" s="161">
        <f t="shared" si="1"/>
        <v>7.9062871302076308E-3</v>
      </c>
      <c r="F13" s="182">
        <f>PopulationData!R61</f>
        <v>4103.9386182770359</v>
      </c>
      <c r="G13" s="183">
        <f t="shared" si="2"/>
        <v>9.1121846007663106E-3</v>
      </c>
      <c r="H13" s="184">
        <f>PopulationData!O61-PopulationData!E61+PopulationData!P61</f>
        <v>15820.177482888586</v>
      </c>
      <c r="I13" s="183">
        <f t="shared" si="3"/>
        <v>8.2526623387481225E-3</v>
      </c>
      <c r="J13" s="555">
        <f>11034+5491</f>
        <v>16525</v>
      </c>
      <c r="K13" s="173">
        <f t="shared" si="4"/>
        <v>6.9346294201181047E-3</v>
      </c>
    </row>
    <row r="14" spans="1:12" ht="18.75">
      <c r="A14" s="159" t="s">
        <v>59</v>
      </c>
      <c r="B14" s="160">
        <f>PopulationData!Q8</f>
        <v>4570.6099999999997</v>
      </c>
      <c r="C14" s="161">
        <f t="shared" si="0"/>
        <v>4.7616448089111085E-2</v>
      </c>
      <c r="D14" s="160">
        <f>PopulationData!O8</f>
        <v>211159.73711983036</v>
      </c>
      <c r="E14" s="161">
        <f t="shared" si="1"/>
        <v>0.1381881058852947</v>
      </c>
      <c r="F14" s="182">
        <f>PopulationData!R8</f>
        <v>64496.852202632304</v>
      </c>
      <c r="G14" s="183">
        <f t="shared" si="2"/>
        <v>0.14320565634713733</v>
      </c>
      <c r="H14" s="184">
        <f>PopulationData!O8-PopulationData!E8+PopulationData!P8</f>
        <v>267068.42728218593</v>
      </c>
      <c r="I14" s="183">
        <f t="shared" si="3"/>
        <v>0.13931737201332317</v>
      </c>
      <c r="J14" s="555">
        <f>206963+59464</f>
        <v>266427</v>
      </c>
      <c r="K14" s="173">
        <f t="shared" si="4"/>
        <v>0.11180469062110779</v>
      </c>
    </row>
    <row r="15" spans="1:12" ht="18.75">
      <c r="A15" s="159" t="s">
        <v>64</v>
      </c>
      <c r="B15" s="160">
        <f>PopulationData!Q21</f>
        <v>3945.84</v>
      </c>
      <c r="C15" s="161">
        <f t="shared" si="0"/>
        <v>4.1107617041913028E-2</v>
      </c>
      <c r="D15" s="160">
        <f>PopulationData!O21</f>
        <v>106126.37825347412</v>
      </c>
      <c r="E15" s="161">
        <f t="shared" si="1"/>
        <v>6.9451702276895219E-2</v>
      </c>
      <c r="F15" s="182">
        <f>PopulationData!R21</f>
        <v>30860.370855923444</v>
      </c>
      <c r="G15" s="183">
        <f t="shared" si="2"/>
        <v>6.8520858190940018E-2</v>
      </c>
      <c r="H15" s="184">
        <f>PopulationData!O21-PopulationData!E21+PopulationData!P21</f>
        <v>134387.09240890623</v>
      </c>
      <c r="I15" s="183">
        <f t="shared" si="3"/>
        <v>7.0103593814697454E-2</v>
      </c>
      <c r="J15" s="555">
        <f>126099+27390</f>
        <v>153489</v>
      </c>
      <c r="K15" s="173">
        <f t="shared" si="4"/>
        <v>6.4410852348835576E-2</v>
      </c>
    </row>
    <row r="16" spans="1:12" ht="18.75">
      <c r="A16" s="159" t="s">
        <v>68</v>
      </c>
      <c r="B16" s="160">
        <f>PopulationData!Q33</f>
        <v>4423.22</v>
      </c>
      <c r="C16" s="161">
        <f t="shared" si="0"/>
        <v>4.6080944450897797E-2</v>
      </c>
      <c r="D16" s="160">
        <f>PopulationData!O33</f>
        <v>145898.90228414966</v>
      </c>
      <c r="E16" s="161">
        <f t="shared" si="1"/>
        <v>9.5479816523682051E-2</v>
      </c>
      <c r="F16" s="182">
        <f>PopulationData!R33</f>
        <v>45700.01578095767</v>
      </c>
      <c r="G16" s="183">
        <f t="shared" si="2"/>
        <v>0.10147008003468853</v>
      </c>
      <c r="H16" s="184">
        <f>PopulationData!O33-PopulationData!E33+PopulationData!P33</f>
        <v>188124.36561576606</v>
      </c>
      <c r="I16" s="183">
        <f t="shared" si="3"/>
        <v>9.8135869132780482E-2</v>
      </c>
      <c r="J16" s="555">
        <f>161022+38016</f>
        <v>199038</v>
      </c>
      <c r="K16" s="173">
        <f t="shared" si="4"/>
        <v>8.3525250863628886E-2</v>
      </c>
    </row>
    <row r="17" spans="1:13" ht="18.75">
      <c r="A17" s="159" t="s">
        <v>67</v>
      </c>
      <c r="B17" s="160">
        <f>PopulationData!Q29</f>
        <v>3223.63</v>
      </c>
      <c r="C17" s="161">
        <f t="shared" si="0"/>
        <v>3.3583659632631352E-2</v>
      </c>
      <c r="D17" s="160">
        <f>PopulationData!O29</f>
        <v>47749.967180629545</v>
      </c>
      <c r="E17" s="161">
        <f t="shared" si="1"/>
        <v>3.1248748510383083E-2</v>
      </c>
      <c r="F17" s="182">
        <f>PopulationData!R29</f>
        <v>14877.960441502722</v>
      </c>
      <c r="G17" s="183">
        <f t="shared" si="2"/>
        <v>3.3034295742656199E-2</v>
      </c>
      <c r="H17" s="184">
        <f>PopulationData!O29-PopulationData!E29+PopulationData!P29</f>
        <v>61904.357441843997</v>
      </c>
      <c r="I17" s="183">
        <f t="shared" si="3"/>
        <v>3.2292669271080002E-2</v>
      </c>
      <c r="J17" s="555">
        <f>92659+28104</f>
        <v>120763</v>
      </c>
      <c r="K17" s="173">
        <f t="shared" si="4"/>
        <v>5.0677558406155683E-2</v>
      </c>
    </row>
    <row r="18" spans="1:13" ht="18.75">
      <c r="A18" s="159" t="s">
        <v>63</v>
      </c>
      <c r="B18" s="160">
        <f>PopulationData!Q16</f>
        <v>724.23</v>
      </c>
      <c r="C18" s="161">
        <f t="shared" si="0"/>
        <v>7.5450016955235571E-3</v>
      </c>
      <c r="D18" s="160">
        <f>PopulationData!O16</f>
        <v>174752.34985971398</v>
      </c>
      <c r="E18" s="161">
        <f t="shared" si="1"/>
        <v>0.11436221959498914</v>
      </c>
      <c r="F18" s="182">
        <f>PopulationData!R16</f>
        <v>52843.509227949689</v>
      </c>
      <c r="G18" s="183">
        <f t="shared" si="2"/>
        <v>0.11733114352464</v>
      </c>
      <c r="H18" s="184">
        <f>PopulationData!O16-PopulationData!E16+PopulationData!P16</f>
        <v>215079.19395278944</v>
      </c>
      <c r="I18" s="183">
        <f t="shared" si="3"/>
        <v>0.11219696907334556</v>
      </c>
      <c r="J18" s="555">
        <f>97250+47768</f>
        <v>145018</v>
      </c>
      <c r="K18" s="173">
        <f t="shared" si="4"/>
        <v>6.0856041709330552E-2</v>
      </c>
    </row>
    <row r="19" spans="1:13" s="44" customFormat="1" ht="19.5" thickBot="1">
      <c r="A19" s="162" t="s">
        <v>19</v>
      </c>
      <c r="B19" s="163">
        <f t="shared" ref="B19:K19" si="5">SUM(B3:B18)</f>
        <v>95988.05</v>
      </c>
      <c r="C19" s="164">
        <f t="shared" si="5"/>
        <v>1</v>
      </c>
      <c r="D19" s="163">
        <f t="shared" si="5"/>
        <v>1528060.1450251222</v>
      </c>
      <c r="E19" s="164">
        <f t="shared" si="5"/>
        <v>1</v>
      </c>
      <c r="F19" s="165">
        <f t="shared" si="5"/>
        <v>450379.22277517349</v>
      </c>
      <c r="G19" s="164">
        <f t="shared" si="5"/>
        <v>1</v>
      </c>
      <c r="H19" s="163">
        <f t="shared" si="5"/>
        <v>1916978.6468312489</v>
      </c>
      <c r="I19" s="166">
        <f t="shared" si="5"/>
        <v>0.99999999999999978</v>
      </c>
      <c r="J19" s="167">
        <f t="shared" si="5"/>
        <v>2382968</v>
      </c>
      <c r="K19" s="174">
        <f t="shared" si="5"/>
        <v>1</v>
      </c>
      <c r="M19" s="360" t="s">
        <v>213</v>
      </c>
    </row>
    <row r="20" spans="1:13" ht="8.4499999999999993" customHeight="1" thickTop="1" thickBot="1">
      <c r="A20" s="168"/>
      <c r="B20" s="169"/>
      <c r="C20" s="170"/>
      <c r="D20" s="169"/>
      <c r="E20" s="170"/>
      <c r="F20" s="153"/>
      <c r="G20" s="185"/>
      <c r="H20" s="153"/>
      <c r="I20" s="185"/>
      <c r="J20" s="153"/>
      <c r="K20" s="186"/>
    </row>
    <row r="21" spans="1:13" ht="19.5" thickTop="1">
      <c r="A21" s="874" t="s">
        <v>212</v>
      </c>
      <c r="B21" s="875"/>
      <c r="C21" s="875"/>
      <c r="D21" s="875"/>
      <c r="E21" s="876"/>
      <c r="F21" s="871" t="s">
        <v>248</v>
      </c>
      <c r="G21" s="872"/>
      <c r="H21" s="872"/>
      <c r="I21" s="872"/>
      <c r="J21" s="872"/>
      <c r="K21" s="872"/>
    </row>
    <row r="22" spans="1:13" ht="37.5">
      <c r="A22" s="171" t="s">
        <v>58</v>
      </c>
      <c r="B22" s="356" t="s">
        <v>18</v>
      </c>
      <c r="C22" s="357" t="s">
        <v>17</v>
      </c>
      <c r="D22" s="356" t="s">
        <v>163</v>
      </c>
      <c r="E22" s="172" t="s">
        <v>20</v>
      </c>
      <c r="F22" s="873"/>
      <c r="G22" s="872"/>
      <c r="H22" s="872"/>
      <c r="I22" s="872"/>
      <c r="J22" s="872"/>
      <c r="K22" s="872"/>
    </row>
    <row r="23" spans="1:13" ht="18.75">
      <c r="A23" s="358" t="s">
        <v>72</v>
      </c>
      <c r="B23" s="184">
        <f>PopulationData!Q51</f>
        <v>11893.84</v>
      </c>
      <c r="C23" s="183">
        <f t="shared" ref="C23:C29" si="6">B23/$B$30</f>
        <v>0.38942366879094342</v>
      </c>
      <c r="D23" s="184">
        <f>PopulationData!O51</f>
        <v>53519.548958423526</v>
      </c>
      <c r="E23" s="173">
        <f t="shared" ref="E23:E29" si="7">D23/$D$30</f>
        <v>5.0058966278300483E-2</v>
      </c>
      <c r="F23" s="873"/>
      <c r="G23" s="872"/>
      <c r="H23" s="872"/>
      <c r="I23" s="872"/>
      <c r="J23" s="872"/>
      <c r="K23" s="872"/>
    </row>
    <row r="24" spans="1:13" ht="18.75">
      <c r="A24" s="358" t="s">
        <v>65</v>
      </c>
      <c r="B24" s="184">
        <f>PopulationData!Q23</f>
        <v>4553.12</v>
      </c>
      <c r="C24" s="183">
        <f t="shared" si="6"/>
        <v>0.14907655516178292</v>
      </c>
      <c r="D24" s="184">
        <f>PopulationData!O23</f>
        <v>148168.84271637542</v>
      </c>
      <c r="E24" s="173">
        <f t="shared" si="7"/>
        <v>0.13858822141412019</v>
      </c>
      <c r="F24" s="873"/>
      <c r="G24" s="872"/>
      <c r="H24" s="872"/>
      <c r="I24" s="872"/>
      <c r="J24" s="872"/>
      <c r="K24" s="872"/>
    </row>
    <row r="25" spans="1:13" ht="18.75">
      <c r="A25" s="358" t="s">
        <v>178</v>
      </c>
      <c r="B25" s="184">
        <f>PopulationData!Q14</f>
        <v>431.3</v>
      </c>
      <c r="C25" s="183">
        <f t="shared" si="6"/>
        <v>1.4121463576904842E-2</v>
      </c>
      <c r="D25" s="184">
        <f>PopulationData!O14</f>
        <v>229504.36748472252</v>
      </c>
      <c r="E25" s="173">
        <f t="shared" si="7"/>
        <v>0.21466457801364136</v>
      </c>
      <c r="F25" s="873"/>
      <c r="G25" s="872"/>
      <c r="H25" s="872"/>
      <c r="I25" s="872"/>
      <c r="J25" s="872"/>
      <c r="K25" s="872"/>
    </row>
    <row r="26" spans="1:13" ht="18.75">
      <c r="A26" s="358" t="s">
        <v>59</v>
      </c>
      <c r="B26" s="184">
        <f>PopulationData!Q8</f>
        <v>4570.6099999999997</v>
      </c>
      <c r="C26" s="183">
        <f t="shared" si="6"/>
        <v>0.14964920621200334</v>
      </c>
      <c r="D26" s="184">
        <f>PopulationData!O8</f>
        <v>211159.73711983036</v>
      </c>
      <c r="E26" s="173">
        <f t="shared" si="7"/>
        <v>0.19750611441116572</v>
      </c>
      <c r="F26" s="873"/>
      <c r="G26" s="872"/>
      <c r="H26" s="872"/>
      <c r="I26" s="872"/>
      <c r="J26" s="872"/>
      <c r="K26" s="872"/>
    </row>
    <row r="27" spans="1:13" ht="18.75">
      <c r="A27" s="358" t="s">
        <v>64</v>
      </c>
      <c r="B27" s="184">
        <f>PopulationData!Q21</f>
        <v>3945.84</v>
      </c>
      <c r="C27" s="183">
        <f t="shared" si="6"/>
        <v>0.12919322012588502</v>
      </c>
      <c r="D27" s="184">
        <f>PopulationData!O21</f>
        <v>106126.37825347412</v>
      </c>
      <c r="E27" s="173">
        <f t="shared" si="7"/>
        <v>9.9264229494084102E-2</v>
      </c>
      <c r="F27" s="873"/>
      <c r="G27" s="872"/>
      <c r="H27" s="872"/>
      <c r="I27" s="872"/>
      <c r="J27" s="872"/>
      <c r="K27" s="872"/>
    </row>
    <row r="28" spans="1:13" ht="18.75">
      <c r="A28" s="358" t="s">
        <v>68</v>
      </c>
      <c r="B28" s="184">
        <f>PopulationData!Q33</f>
        <v>4423.22</v>
      </c>
      <c r="C28" s="183">
        <f t="shared" si="6"/>
        <v>0.14482341785911673</v>
      </c>
      <c r="D28" s="184">
        <f>PopulationData!O33</f>
        <v>145898.90228414966</v>
      </c>
      <c r="E28" s="173">
        <f t="shared" si="7"/>
        <v>0.13646505569688266</v>
      </c>
      <c r="F28" s="873"/>
      <c r="G28" s="872"/>
      <c r="H28" s="872"/>
      <c r="I28" s="872"/>
      <c r="J28" s="872"/>
      <c r="K28" s="872"/>
    </row>
    <row r="29" spans="1:13" ht="18.75">
      <c r="A29" s="358" t="s">
        <v>63</v>
      </c>
      <c r="B29" s="184">
        <f>PopulationData!Q16</f>
        <v>724.23</v>
      </c>
      <c r="C29" s="183">
        <f t="shared" si="6"/>
        <v>2.371246827336377E-2</v>
      </c>
      <c r="D29" s="184">
        <f>PopulationData!O16</f>
        <v>174752.34985971398</v>
      </c>
      <c r="E29" s="173">
        <f t="shared" si="7"/>
        <v>0.16345283469180547</v>
      </c>
      <c r="F29" s="873"/>
      <c r="G29" s="872"/>
      <c r="H29" s="872"/>
      <c r="I29" s="872"/>
      <c r="J29" s="872"/>
      <c r="K29" s="872"/>
    </row>
    <row r="30" spans="1:13" ht="19.5" thickBot="1">
      <c r="A30" s="162" t="s">
        <v>19</v>
      </c>
      <c r="B30" s="163">
        <f>SUM(B23:B29)</f>
        <v>30542.16</v>
      </c>
      <c r="C30" s="164">
        <f>SUM(C23:C29)</f>
        <v>1</v>
      </c>
      <c r="D30" s="163">
        <f>SUM(D23:D29)</f>
        <v>1069130.1266766896</v>
      </c>
      <c r="E30" s="174">
        <f>SUM(E23:E29)</f>
        <v>0.99999999999999989</v>
      </c>
      <c r="F30" s="873"/>
      <c r="G30" s="872"/>
      <c r="H30" s="872"/>
      <c r="I30" s="872"/>
      <c r="J30" s="872"/>
      <c r="K30" s="872"/>
    </row>
    <row r="31" spans="1:13" ht="15.75" thickTop="1">
      <c r="A31" s="26" t="s">
        <v>317</v>
      </c>
    </row>
  </sheetData>
  <sheetProtection algorithmName="SHA-512" hashValue="plYkiTZlxg6gHKxjdKRAIC+eR5VbmM1Hc4rCCnUFd+mkkqXO+RjP7AgQynX9plIXzyiQE525j7NjjBcgy9OpWQ==" saltValue="XhDQ41S1NeQNThEFnViGEA==" spinCount="100000" sheet="1" sort="0"/>
  <sortState xmlns:xlrd2="http://schemas.microsoft.com/office/spreadsheetml/2017/richdata2" ref="A7:I22">
    <sortCondition ref="A7"/>
  </sortState>
  <mergeCells count="2">
    <mergeCell ref="F21:K30"/>
    <mergeCell ref="A21:E21"/>
  </mergeCells>
  <pageMargins left="0.75" right="0.75" top="1" bottom="0.5" header="0.25" footer="0.3"/>
  <pageSetup paperSize="3" orientation="landscape" horizontalDpi="1200" verticalDpi="1200" r:id="rId1"/>
  <headerFooter>
    <oddHeader>&amp;L&amp;G&amp;C&amp;"-,Bold"&amp;16 2023-2025 planning allocation
to Area Agencies on Aging</oddHead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FFFF66"/>
  </sheetPr>
  <dimension ref="A1:Q49"/>
  <sheetViews>
    <sheetView showGridLines="0" zoomScale="99" zoomScaleNormal="99" zoomScalePageLayoutView="83" workbookViewId="0">
      <selection activeCell="B16" sqref="B16"/>
    </sheetView>
  </sheetViews>
  <sheetFormatPr defaultRowHeight="15"/>
  <cols>
    <col min="1" max="1" width="25.140625" bestFit="1" customWidth="1" collapsed="1"/>
    <col min="2" max="2" width="12" customWidth="1" collapsed="1"/>
    <col min="3" max="3" width="11.85546875" bestFit="1" customWidth="1" collapsed="1"/>
    <col min="4" max="4" width="10.85546875" bestFit="1" customWidth="1" collapsed="1"/>
    <col min="6" max="6" width="10.85546875" bestFit="1" customWidth="1" collapsed="1"/>
    <col min="7" max="7" width="9.28515625" bestFit="1" customWidth="1" collapsed="1"/>
    <col min="8" max="8" width="12.5703125" bestFit="1" customWidth="1" collapsed="1"/>
    <col min="9" max="9" width="10.85546875" bestFit="1" customWidth="1" collapsed="1"/>
    <col min="10" max="10" width="11.5703125" bestFit="1" customWidth="1" collapsed="1"/>
    <col min="11" max="11" width="16.5703125" bestFit="1" customWidth="1" collapsed="1"/>
    <col min="12" max="12" width="15.28515625" bestFit="1" customWidth="1" collapsed="1"/>
    <col min="13" max="13" width="11.85546875" bestFit="1" customWidth="1" collapsed="1"/>
    <col min="14" max="14" width="14.42578125" customWidth="1" collapsed="1"/>
    <col min="15" max="15" width="9.85546875" bestFit="1" customWidth="1"/>
    <col min="16" max="16" width="11.7109375" bestFit="1" customWidth="1"/>
  </cols>
  <sheetData>
    <row r="1" spans="1:17" ht="45">
      <c r="A1" s="176" t="s">
        <v>463</v>
      </c>
      <c r="B1" s="177" t="s">
        <v>56</v>
      </c>
      <c r="C1" s="177" t="s">
        <v>38</v>
      </c>
      <c r="D1" s="177" t="s">
        <v>39</v>
      </c>
      <c r="E1" s="177" t="s">
        <v>40</v>
      </c>
      <c r="F1" s="177" t="s">
        <v>41</v>
      </c>
      <c r="G1" s="177" t="s">
        <v>223</v>
      </c>
      <c r="H1" s="177" t="s">
        <v>48</v>
      </c>
      <c r="I1" s="176" t="s">
        <v>199</v>
      </c>
      <c r="J1" s="176" t="s">
        <v>177</v>
      </c>
      <c r="K1" s="176" t="s">
        <v>201</v>
      </c>
      <c r="L1" s="178" t="s">
        <v>200</v>
      </c>
      <c r="M1" s="177" t="s">
        <v>43</v>
      </c>
      <c r="O1" s="146"/>
    </row>
    <row r="2" spans="1:17" ht="19.899999999999999" hidden="1" customHeight="1">
      <c r="A2" s="21">
        <v>2009</v>
      </c>
      <c r="B2" s="22">
        <v>4399453</v>
      </c>
      <c r="C2" s="22">
        <v>5288538</v>
      </c>
      <c r="D2" s="22">
        <v>2679984</v>
      </c>
      <c r="E2" s="22">
        <v>254913</v>
      </c>
      <c r="F2" s="22">
        <v>1879727</v>
      </c>
      <c r="G2" s="22">
        <v>63054</v>
      </c>
      <c r="H2" s="22">
        <v>1760732</v>
      </c>
      <c r="I2" s="175" t="s">
        <v>249</v>
      </c>
      <c r="J2" s="175" t="s">
        <v>249</v>
      </c>
      <c r="K2" s="22">
        <f>7408221/2</f>
        <v>3704110.5</v>
      </c>
      <c r="L2" s="241" t="s">
        <v>249</v>
      </c>
      <c r="M2" s="242">
        <f t="shared" ref="M2:M12" si="0">SUM(B2:I2)</f>
        <v>16326401</v>
      </c>
      <c r="O2" s="147"/>
    </row>
    <row r="3" spans="1:17" ht="19.899999999999999" hidden="1" customHeight="1">
      <c r="A3" s="21">
        <v>2010</v>
      </c>
      <c r="B3" s="22">
        <v>4555027</v>
      </c>
      <c r="C3" s="22">
        <v>5451950</v>
      </c>
      <c r="D3" s="22">
        <v>2742235</v>
      </c>
      <c r="E3" s="22">
        <v>254913</v>
      </c>
      <c r="F3" s="22">
        <v>1881639</v>
      </c>
      <c r="G3" s="22">
        <v>63387</v>
      </c>
      <c r="H3" s="22">
        <v>1765224</v>
      </c>
      <c r="I3" s="175" t="s">
        <v>249</v>
      </c>
      <c r="J3" s="175" t="s">
        <v>249</v>
      </c>
      <c r="K3" s="22">
        <f t="shared" ref="K3:K4" si="1">7408221/2</f>
        <v>3704110.5</v>
      </c>
      <c r="L3" s="241" t="s">
        <v>249</v>
      </c>
      <c r="M3" s="242">
        <f t="shared" si="0"/>
        <v>16714375</v>
      </c>
      <c r="O3" s="147"/>
    </row>
    <row r="4" spans="1:17" ht="19.899999999999999" hidden="1" customHeight="1">
      <c r="A4" s="21">
        <v>2011</v>
      </c>
      <c r="B4" s="22">
        <v>4576322</v>
      </c>
      <c r="C4" s="22">
        <v>5488400</v>
      </c>
      <c r="D4" s="22">
        <v>2757513</v>
      </c>
      <c r="E4" s="22">
        <v>254403</v>
      </c>
      <c r="F4" s="22">
        <v>1880893</v>
      </c>
      <c r="G4" s="22">
        <v>63559</v>
      </c>
      <c r="H4" s="22">
        <v>1797863</v>
      </c>
      <c r="I4" s="175" t="s">
        <v>249</v>
      </c>
      <c r="J4" s="175" t="s">
        <v>249</v>
      </c>
      <c r="K4" s="22">
        <f t="shared" si="1"/>
        <v>3704110.5</v>
      </c>
      <c r="L4" s="241" t="s">
        <v>249</v>
      </c>
      <c r="M4" s="242">
        <f t="shared" si="0"/>
        <v>16818953</v>
      </c>
      <c r="O4" s="147"/>
    </row>
    <row r="5" spans="1:17" ht="19.899999999999999" hidden="1" customHeight="1">
      <c r="A5" s="21">
        <v>2012</v>
      </c>
      <c r="B5" s="22">
        <v>4591896</v>
      </c>
      <c r="C5" s="22">
        <v>5510920</v>
      </c>
      <c r="D5" s="22">
        <v>2780085</v>
      </c>
      <c r="E5" s="22">
        <v>253923</v>
      </c>
      <c r="F5" s="22">
        <v>1908337</v>
      </c>
      <c r="G5" s="22">
        <v>63805</v>
      </c>
      <c r="H5" s="28">
        <f>1793200</f>
        <v>1793200</v>
      </c>
      <c r="I5" s="175" t="s">
        <v>249</v>
      </c>
      <c r="J5" s="175" t="s">
        <v>249</v>
      </c>
      <c r="K5" s="29">
        <f>21408000/3</f>
        <v>7136000</v>
      </c>
      <c r="L5" s="241" t="s">
        <v>249</v>
      </c>
      <c r="M5" s="242">
        <f t="shared" si="0"/>
        <v>16902166</v>
      </c>
      <c r="O5" s="148"/>
    </row>
    <row r="6" spans="1:17" ht="19.899999999999999" hidden="1" customHeight="1">
      <c r="A6" s="21">
        <v>2013</v>
      </c>
      <c r="B6" s="22">
        <v>4091730</v>
      </c>
      <c r="C6" s="22">
        <v>5034431</v>
      </c>
      <c r="D6" s="22">
        <v>2658943</v>
      </c>
      <c r="E6" s="22">
        <v>239217</v>
      </c>
      <c r="F6" s="22">
        <v>1820218</v>
      </c>
      <c r="G6" s="22">
        <v>56795</v>
      </c>
      <c r="H6" s="29">
        <v>1658620</v>
      </c>
      <c r="I6" s="29">
        <v>311625</v>
      </c>
      <c r="J6" s="175" t="s">
        <v>249</v>
      </c>
      <c r="K6" s="29">
        <f>21408000/3</f>
        <v>7136000</v>
      </c>
      <c r="L6" s="241" t="s">
        <v>249</v>
      </c>
      <c r="M6" s="242">
        <f t="shared" si="0"/>
        <v>15871579</v>
      </c>
      <c r="O6" s="149"/>
    </row>
    <row r="7" spans="1:17" ht="19.899999999999999" hidden="1" customHeight="1">
      <c r="A7" s="21">
        <v>2014</v>
      </c>
      <c r="B7" s="22">
        <v>4092068</v>
      </c>
      <c r="C7" s="22">
        <v>5545438</v>
      </c>
      <c r="D7" s="22">
        <v>2821441</v>
      </c>
      <c r="E7" s="22">
        <v>239227</v>
      </c>
      <c r="F7" s="22">
        <v>1828462</v>
      </c>
      <c r="G7" s="22">
        <v>56795</v>
      </c>
      <c r="H7" s="29">
        <v>1837852</v>
      </c>
      <c r="I7" s="29">
        <v>3160551</v>
      </c>
      <c r="J7" s="175">
        <v>1250000</v>
      </c>
      <c r="K7" s="29">
        <f>21408000/3</f>
        <v>7136000</v>
      </c>
      <c r="L7" s="145">
        <v>3000000</v>
      </c>
      <c r="M7" s="25">
        <f t="shared" si="0"/>
        <v>19581834</v>
      </c>
      <c r="O7" s="149"/>
    </row>
    <row r="8" spans="1:17" s="169" customFormat="1" ht="19.899999999999999" customHeight="1">
      <c r="A8" s="293">
        <v>2015</v>
      </c>
      <c r="B8" s="294">
        <v>4091731</v>
      </c>
      <c r="C8" s="294">
        <v>5570464</v>
      </c>
      <c r="D8" s="294">
        <v>2844111</v>
      </c>
      <c r="E8" s="294">
        <v>239207</v>
      </c>
      <c r="F8" s="294">
        <v>1837888</v>
      </c>
      <c r="G8" s="294">
        <v>56795</v>
      </c>
      <c r="H8" s="295">
        <v>1941998</v>
      </c>
      <c r="I8" s="295">
        <f>2077127/2</f>
        <v>1038563.5</v>
      </c>
      <c r="J8" s="295">
        <f>1250000/2</f>
        <v>625000</v>
      </c>
      <c r="K8" s="295">
        <f>20111625/2</f>
        <v>10055812.5</v>
      </c>
      <c r="L8" s="296">
        <f>6000000/2</f>
        <v>3000000</v>
      </c>
      <c r="M8" s="297">
        <f t="shared" si="0"/>
        <v>17620757.5</v>
      </c>
      <c r="N8" s="298"/>
      <c r="O8" s="299"/>
      <c r="P8" s="299"/>
    </row>
    <row r="9" spans="1:17" s="169" customFormat="1" ht="19.5" customHeight="1">
      <c r="A9" s="293">
        <v>2016</v>
      </c>
      <c r="B9" s="294">
        <v>4085823</v>
      </c>
      <c r="C9" s="294">
        <v>5771973</v>
      </c>
      <c r="D9" s="294">
        <v>2988113</v>
      </c>
      <c r="E9" s="294">
        <v>238752</v>
      </c>
      <c r="F9" s="294">
        <v>1912618</v>
      </c>
      <c r="G9" s="294">
        <v>56795</v>
      </c>
      <c r="H9" s="295">
        <v>1904526</v>
      </c>
      <c r="I9" s="295">
        <f>2077127/2</f>
        <v>1038563.5</v>
      </c>
      <c r="J9" s="295">
        <f>1250000/2</f>
        <v>625000</v>
      </c>
      <c r="K9" s="295">
        <f>20111625/2</f>
        <v>10055812.5</v>
      </c>
      <c r="L9" s="296">
        <f>6000000/2</f>
        <v>3000000</v>
      </c>
      <c r="M9" s="297">
        <f t="shared" si="0"/>
        <v>17997163.5</v>
      </c>
      <c r="N9" s="298"/>
      <c r="O9" s="299"/>
      <c r="P9" s="299"/>
    </row>
    <row r="10" spans="1:17" ht="19.5" customHeight="1">
      <c r="A10" s="293">
        <v>2017</v>
      </c>
      <c r="B10" s="363">
        <v>4253413</v>
      </c>
      <c r="C10" s="363">
        <v>5823512</v>
      </c>
      <c r="D10" s="363">
        <v>3005722</v>
      </c>
      <c r="E10" s="363">
        <v>240226</v>
      </c>
      <c r="F10" s="363">
        <v>1925376</v>
      </c>
      <c r="G10" s="363">
        <v>56795</v>
      </c>
      <c r="H10" s="380">
        <v>1889136</v>
      </c>
      <c r="I10" s="380">
        <v>1076990.5</v>
      </c>
      <c r="J10" s="380">
        <v>648125</v>
      </c>
      <c r="K10" s="380">
        <v>10427887.5</v>
      </c>
      <c r="L10" s="296">
        <v>3111000</v>
      </c>
      <c r="M10" s="381">
        <f t="shared" si="0"/>
        <v>18271170.5</v>
      </c>
      <c r="N10" s="298"/>
      <c r="O10" s="180" t="s">
        <v>213</v>
      </c>
      <c r="P10" s="151"/>
      <c r="Q10" s="152"/>
    </row>
    <row r="11" spans="1:17" s="367" customFormat="1" ht="19.899999999999999" customHeight="1">
      <c r="A11" s="362">
        <v>2018</v>
      </c>
      <c r="B11" s="363">
        <v>5083251</v>
      </c>
      <c r="C11" s="363">
        <v>6504516</v>
      </c>
      <c r="D11" s="363">
        <v>3268023</v>
      </c>
      <c r="E11" s="363">
        <v>330329</v>
      </c>
      <c r="F11" s="363">
        <v>2331458</v>
      </c>
      <c r="G11" s="363">
        <v>56795</v>
      </c>
      <c r="H11" s="363">
        <v>1811390</v>
      </c>
      <c r="I11" s="363">
        <v>1076990.5</v>
      </c>
      <c r="J11" s="364">
        <v>648125</v>
      </c>
      <c r="K11" s="364">
        <v>10427887.5</v>
      </c>
      <c r="L11" s="365">
        <v>3111000</v>
      </c>
      <c r="M11" s="366">
        <f t="shared" si="0"/>
        <v>20462752.5</v>
      </c>
      <c r="N11" s="298"/>
    </row>
    <row r="12" spans="1:17" s="49" customFormat="1" ht="19.899999999999999" customHeight="1">
      <c r="A12" s="333">
        <v>2019</v>
      </c>
      <c r="B12" s="363">
        <v>5065356</v>
      </c>
      <c r="C12" s="363">
        <v>6512832</v>
      </c>
      <c r="D12" s="363">
        <v>3308171</v>
      </c>
      <c r="E12" s="363">
        <v>328342</v>
      </c>
      <c r="F12" s="363">
        <v>2356276</v>
      </c>
      <c r="G12" s="363">
        <f t="shared" ref="G12" si="2">G11</f>
        <v>56795</v>
      </c>
      <c r="H12" s="363">
        <v>1793536</v>
      </c>
      <c r="I12" s="363">
        <v>526991</v>
      </c>
      <c r="J12" s="364">
        <v>648125</v>
      </c>
      <c r="K12" s="364">
        <v>10427886.5</v>
      </c>
      <c r="L12" s="365">
        <v>3111000</v>
      </c>
      <c r="M12" s="366">
        <f t="shared" si="0"/>
        <v>19948299</v>
      </c>
      <c r="N12" s="481" t="s">
        <v>387</v>
      </c>
      <c r="P12" s="379"/>
      <c r="Q12" s="379"/>
    </row>
    <row r="13" spans="1:17" ht="19.899999999999999" customHeight="1">
      <c r="A13" s="293">
        <v>2020</v>
      </c>
      <c r="B13" s="294">
        <v>5135003</v>
      </c>
      <c r="C13" s="294">
        <v>6706070</v>
      </c>
      <c r="D13" s="294">
        <v>3512271</v>
      </c>
      <c r="E13" s="294">
        <v>329553</v>
      </c>
      <c r="F13" s="294">
        <v>2419369</v>
      </c>
      <c r="G13" s="294">
        <f t="shared" ref="G13:I14" si="3">G12</f>
        <v>56795</v>
      </c>
      <c r="H13" s="294">
        <v>1598413</v>
      </c>
      <c r="I13" s="294">
        <f t="shared" si="3"/>
        <v>526991</v>
      </c>
      <c r="J13" s="295"/>
      <c r="K13" s="295">
        <v>10427886.5</v>
      </c>
      <c r="L13" s="296">
        <v>3111000</v>
      </c>
      <c r="M13" s="297">
        <f t="shared" ref="M13" si="4">SUM(B13:I13)</f>
        <v>20284465</v>
      </c>
      <c r="N13" s="481" t="s">
        <v>386</v>
      </c>
      <c r="O13" s="49"/>
      <c r="P13" s="151"/>
      <c r="Q13" s="152"/>
    </row>
    <row r="14" spans="1:17" ht="19.899999999999999" customHeight="1">
      <c r="A14" s="293">
        <v>2021</v>
      </c>
      <c r="B14" s="294">
        <v>5156499</v>
      </c>
      <c r="C14" s="294">
        <v>6738654</v>
      </c>
      <c r="D14" s="294">
        <v>3625107</v>
      </c>
      <c r="E14" s="294">
        <v>329201</v>
      </c>
      <c r="F14" s="294">
        <v>2481432</v>
      </c>
      <c r="G14" s="294">
        <f t="shared" si="3"/>
        <v>56795</v>
      </c>
      <c r="H14" s="294">
        <v>1590513</v>
      </c>
      <c r="I14" s="294">
        <v>1076991</v>
      </c>
      <c r="J14" s="518"/>
      <c r="K14" s="518">
        <v>10427887</v>
      </c>
      <c r="L14" s="296">
        <v>3111000</v>
      </c>
      <c r="M14" s="297">
        <f t="shared" ref="M14:M16" si="5">SUM(B14:I14)</f>
        <v>21055192</v>
      </c>
      <c r="N14" s="481" t="s">
        <v>419</v>
      </c>
      <c r="O14" s="180"/>
      <c r="P14" s="151"/>
      <c r="Q14" s="152"/>
    </row>
    <row r="15" spans="1:17" ht="19.899999999999999" customHeight="1">
      <c r="A15" s="516">
        <v>2022</v>
      </c>
      <c r="B15" s="363">
        <v>5239146</v>
      </c>
      <c r="C15" s="363">
        <v>6734730</v>
      </c>
      <c r="D15" s="363">
        <v>3811828</v>
      </c>
      <c r="E15" s="363">
        <v>328497</v>
      </c>
      <c r="F15" s="363">
        <v>2569002</v>
      </c>
      <c r="G15" s="363">
        <f t="shared" ref="C15:I18" si="6">G14</f>
        <v>56795</v>
      </c>
      <c r="H15" s="363">
        <v>1740663</v>
      </c>
      <c r="I15" s="363">
        <f t="shared" si="6"/>
        <v>1076991</v>
      </c>
      <c r="J15" s="364"/>
      <c r="K15" s="363">
        <f t="shared" ref="K15:K18" si="7">K14</f>
        <v>10427887</v>
      </c>
      <c r="L15" s="363">
        <f t="shared" ref="L15:L18" si="8">L14</f>
        <v>3111000</v>
      </c>
      <c r="M15" s="297">
        <f t="shared" si="5"/>
        <v>21557652</v>
      </c>
      <c r="N15" s="481" t="s">
        <v>438</v>
      </c>
      <c r="O15" s="180"/>
      <c r="P15" s="151"/>
      <c r="Q15" s="152"/>
    </row>
    <row r="16" spans="1:17" ht="19.899999999999999" customHeight="1">
      <c r="A16" s="516" t="s">
        <v>388</v>
      </c>
      <c r="B16" s="548">
        <v>5364358</v>
      </c>
      <c r="C16" s="548">
        <v>7018393</v>
      </c>
      <c r="D16" s="548">
        <v>4731896</v>
      </c>
      <c r="E16" s="548">
        <v>343647</v>
      </c>
      <c r="F16" s="548">
        <v>2600845</v>
      </c>
      <c r="G16" s="548">
        <v>56600</v>
      </c>
      <c r="H16" s="548">
        <v>1725165</v>
      </c>
      <c r="I16" s="548">
        <f t="shared" si="6"/>
        <v>1076991</v>
      </c>
      <c r="J16" s="548">
        <f t="shared" ref="J16:J18" si="9">J15</f>
        <v>0</v>
      </c>
      <c r="K16" s="548">
        <f t="shared" si="7"/>
        <v>10427887</v>
      </c>
      <c r="L16" s="548">
        <f t="shared" si="8"/>
        <v>3111000</v>
      </c>
      <c r="M16" s="297">
        <f t="shared" si="5"/>
        <v>22917895</v>
      </c>
      <c r="N16" s="49" t="s">
        <v>440</v>
      </c>
      <c r="O16" s="180"/>
      <c r="P16" s="151"/>
      <c r="Q16" s="152"/>
    </row>
    <row r="17" spans="1:17" ht="19.899999999999999" customHeight="1">
      <c r="A17" s="480" t="s">
        <v>436</v>
      </c>
      <c r="B17" s="548">
        <f>B16</f>
        <v>5364358</v>
      </c>
      <c r="C17" s="548">
        <f t="shared" si="6"/>
        <v>7018393</v>
      </c>
      <c r="D17" s="548">
        <f t="shared" si="6"/>
        <v>4731896</v>
      </c>
      <c r="E17" s="548">
        <f t="shared" si="6"/>
        <v>343647</v>
      </c>
      <c r="F17" s="548">
        <f t="shared" si="6"/>
        <v>2600845</v>
      </c>
      <c r="G17" s="548">
        <f t="shared" si="6"/>
        <v>56600</v>
      </c>
      <c r="H17" s="548">
        <f t="shared" si="6"/>
        <v>1725165</v>
      </c>
      <c r="I17" s="548">
        <f t="shared" si="6"/>
        <v>1076991</v>
      </c>
      <c r="J17" s="548">
        <f t="shared" si="9"/>
        <v>0</v>
      </c>
      <c r="K17" s="548">
        <f t="shared" si="7"/>
        <v>10427887</v>
      </c>
      <c r="L17" s="548">
        <f t="shared" si="8"/>
        <v>3111000</v>
      </c>
      <c r="M17" s="297">
        <f t="shared" ref="M17" si="10">SUM(B17:I17)</f>
        <v>22917895</v>
      </c>
      <c r="N17" s="49"/>
      <c r="O17" s="180"/>
      <c r="P17" s="151"/>
      <c r="Q17" s="152"/>
    </row>
    <row r="18" spans="1:17" ht="19.899999999999999" customHeight="1">
      <c r="A18" s="480" t="s">
        <v>437</v>
      </c>
      <c r="B18" s="548">
        <f>B17</f>
        <v>5364358</v>
      </c>
      <c r="C18" s="548">
        <f t="shared" si="6"/>
        <v>7018393</v>
      </c>
      <c r="D18" s="548">
        <f t="shared" si="6"/>
        <v>4731896</v>
      </c>
      <c r="E18" s="548">
        <f t="shared" si="6"/>
        <v>343647</v>
      </c>
      <c r="F18" s="548">
        <f t="shared" si="6"/>
        <v>2600845</v>
      </c>
      <c r="G18" s="548">
        <f t="shared" si="6"/>
        <v>56600</v>
      </c>
      <c r="H18" s="548">
        <f t="shared" si="6"/>
        <v>1725165</v>
      </c>
      <c r="I18" s="548">
        <f t="shared" si="6"/>
        <v>1076991</v>
      </c>
      <c r="J18" s="548">
        <f t="shared" si="9"/>
        <v>0</v>
      </c>
      <c r="K18" s="548">
        <f t="shared" si="7"/>
        <v>10427887</v>
      </c>
      <c r="L18" s="548">
        <f t="shared" si="8"/>
        <v>3111000</v>
      </c>
      <c r="M18" s="297">
        <f t="shared" ref="M18" si="11">SUM(B18:I18)</f>
        <v>22917895</v>
      </c>
      <c r="N18" s="49"/>
      <c r="O18" s="180"/>
      <c r="P18" s="151"/>
      <c r="Q18" s="152"/>
    </row>
    <row r="19" spans="1:17" ht="19.899999999999999" customHeight="1">
      <c r="A19" s="549" t="s">
        <v>36</v>
      </c>
      <c r="B19" s="550">
        <v>55000</v>
      </c>
      <c r="C19" s="550">
        <v>20000</v>
      </c>
      <c r="D19" s="550">
        <v>5000</v>
      </c>
      <c r="E19" s="550">
        <v>3000</v>
      </c>
      <c r="F19" s="550">
        <v>0</v>
      </c>
      <c r="G19" s="550">
        <v>1000</v>
      </c>
      <c r="H19" s="551">
        <v>0</v>
      </c>
      <c r="I19" s="551">
        <v>0</v>
      </c>
      <c r="J19" s="552">
        <v>3000</v>
      </c>
      <c r="K19" s="551">
        <v>0</v>
      </c>
      <c r="L19" s="553">
        <v>0</v>
      </c>
      <c r="M19" s="554">
        <f>SUM(B19:L19)</f>
        <v>87000</v>
      </c>
      <c r="O19" s="150"/>
    </row>
    <row r="20" spans="1:17" ht="19.899999999999999" customHeight="1">
      <c r="A20" s="721"/>
      <c r="B20" s="722"/>
    </row>
    <row r="21" spans="1:17" ht="19.899999999999999" customHeight="1">
      <c r="A21" s="179" t="s">
        <v>45</v>
      </c>
      <c r="B21" s="179" t="s">
        <v>46</v>
      </c>
      <c r="C21" s="179" t="s">
        <v>38</v>
      </c>
      <c r="D21" s="179" t="s">
        <v>39</v>
      </c>
      <c r="E21" s="179" t="s">
        <v>40</v>
      </c>
      <c r="F21" s="179" t="s">
        <v>41</v>
      </c>
      <c r="G21" s="179" t="s">
        <v>42</v>
      </c>
      <c r="H21" s="177" t="s">
        <v>47</v>
      </c>
      <c r="I21" s="177" t="s">
        <v>48</v>
      </c>
      <c r="J21" s="177" t="s">
        <v>49</v>
      </c>
      <c r="K21" s="177" t="s">
        <v>236</v>
      </c>
      <c r="L21" s="177" t="s">
        <v>146</v>
      </c>
      <c r="M21" s="243" t="s">
        <v>50</v>
      </c>
      <c r="N21" s="245" t="s">
        <v>51</v>
      </c>
    </row>
    <row r="22" spans="1:17" ht="19.899999999999999" hidden="1" customHeight="1">
      <c r="A22" s="21">
        <v>2009</v>
      </c>
      <c r="B22" s="22">
        <f t="shared" ref="B22:B38" si="12">B2*0.95-K22</f>
        <v>4122566.8499999996</v>
      </c>
      <c r="C22" s="22">
        <f t="shared" ref="C22:D38" si="13">C2*0.95</f>
        <v>5024111.0999999996</v>
      </c>
      <c r="D22" s="22">
        <f t="shared" si="13"/>
        <v>2545984.7999999998</v>
      </c>
      <c r="E22" s="22">
        <f t="shared" ref="E22:E38" si="14">E2</f>
        <v>254913</v>
      </c>
      <c r="F22" s="22">
        <f t="shared" ref="F22:F38" si="15">F2*0.95</f>
        <v>1785740.65</v>
      </c>
      <c r="G22" s="22">
        <f t="shared" ref="G22:G38" si="16">G2-M22</f>
        <v>57075</v>
      </c>
      <c r="H22" s="23">
        <f t="shared" ref="H22:H30" si="17">SUM(B22:G22)</f>
        <v>13790391.4</v>
      </c>
      <c r="I22" s="22">
        <f t="shared" ref="I22:I38" si="18">H2</f>
        <v>1760732</v>
      </c>
      <c r="J22" s="24">
        <f t="shared" ref="J22:J38" si="19">(B2+C2+D2+F2)*0.05</f>
        <v>712385.10000000009</v>
      </c>
      <c r="K22" s="25">
        <f>30913.5+26000</f>
        <v>56913.5</v>
      </c>
      <c r="L22" s="25">
        <v>204818</v>
      </c>
      <c r="M22" s="244">
        <v>5979</v>
      </c>
      <c r="N22" s="246">
        <f t="shared" ref="N22:N30" si="20">SUM(H22:M22)</f>
        <v>16531219</v>
      </c>
    </row>
    <row r="23" spans="1:17" ht="19.899999999999999" hidden="1" customHeight="1">
      <c r="A23" s="21">
        <v>2010</v>
      </c>
      <c r="B23" s="22">
        <f t="shared" si="12"/>
        <v>4270362.1499999994</v>
      </c>
      <c r="C23" s="22">
        <f t="shared" si="13"/>
        <v>5179352.5</v>
      </c>
      <c r="D23" s="22">
        <f t="shared" si="13"/>
        <v>2605123.25</v>
      </c>
      <c r="E23" s="22">
        <f t="shared" si="14"/>
        <v>254913</v>
      </c>
      <c r="F23" s="22">
        <f t="shared" si="15"/>
        <v>1787557.0499999998</v>
      </c>
      <c r="G23" s="22">
        <f t="shared" si="16"/>
        <v>57408</v>
      </c>
      <c r="H23" s="23">
        <f t="shared" si="17"/>
        <v>14154715.949999999</v>
      </c>
      <c r="I23" s="22">
        <f t="shared" si="18"/>
        <v>1765224</v>
      </c>
      <c r="J23" s="24">
        <f t="shared" si="19"/>
        <v>731542.55</v>
      </c>
      <c r="K23" s="25">
        <f t="shared" ref="K23:K29" si="21">30913.5+26000</f>
        <v>56913.5</v>
      </c>
      <c r="L23" s="25">
        <v>212847</v>
      </c>
      <c r="M23" s="244">
        <v>5979</v>
      </c>
      <c r="N23" s="246">
        <f t="shared" si="20"/>
        <v>16927222</v>
      </c>
    </row>
    <row r="24" spans="1:17" ht="19.899999999999999" hidden="1" customHeight="1">
      <c r="A24" s="21">
        <v>2011</v>
      </c>
      <c r="B24" s="22">
        <f t="shared" si="12"/>
        <v>4290592.3999999994</v>
      </c>
      <c r="C24" s="22">
        <f t="shared" si="13"/>
        <v>5213980</v>
      </c>
      <c r="D24" s="22">
        <f t="shared" si="13"/>
        <v>2619637.35</v>
      </c>
      <c r="E24" s="22">
        <f t="shared" si="14"/>
        <v>254403</v>
      </c>
      <c r="F24" s="22">
        <f t="shared" si="15"/>
        <v>1786848.3499999999</v>
      </c>
      <c r="G24" s="22">
        <f t="shared" si="16"/>
        <v>57580</v>
      </c>
      <c r="H24" s="23">
        <f t="shared" si="17"/>
        <v>14223041.099999998</v>
      </c>
      <c r="I24" s="22">
        <f t="shared" si="18"/>
        <v>1797863</v>
      </c>
      <c r="J24" s="24">
        <f t="shared" si="19"/>
        <v>735156.4</v>
      </c>
      <c r="K24" s="25">
        <f t="shared" si="21"/>
        <v>56913.5</v>
      </c>
      <c r="L24" s="25">
        <v>213891</v>
      </c>
      <c r="M24" s="244">
        <v>5979</v>
      </c>
      <c r="N24" s="246">
        <f t="shared" si="20"/>
        <v>17032844</v>
      </c>
    </row>
    <row r="25" spans="1:17" ht="19.899999999999999" hidden="1" customHeight="1">
      <c r="A25" s="21">
        <v>2012</v>
      </c>
      <c r="B25" s="22">
        <f t="shared" si="12"/>
        <v>4305387.7</v>
      </c>
      <c r="C25" s="22">
        <f t="shared" si="13"/>
        <v>5235374</v>
      </c>
      <c r="D25" s="22">
        <f t="shared" si="13"/>
        <v>2641080.75</v>
      </c>
      <c r="E25" s="22">
        <f t="shared" si="14"/>
        <v>253923</v>
      </c>
      <c r="F25" s="22">
        <f t="shared" si="15"/>
        <v>1812920.15</v>
      </c>
      <c r="G25" s="22">
        <f t="shared" si="16"/>
        <v>57826</v>
      </c>
      <c r="H25" s="23">
        <f t="shared" si="17"/>
        <v>14306511.6</v>
      </c>
      <c r="I25" s="22">
        <f t="shared" si="18"/>
        <v>1793200</v>
      </c>
      <c r="J25" s="24">
        <f t="shared" si="19"/>
        <v>739561.9</v>
      </c>
      <c r="K25" s="25">
        <f t="shared" si="21"/>
        <v>56913.5</v>
      </c>
      <c r="L25" s="25">
        <v>215742</v>
      </c>
      <c r="M25" s="244">
        <v>5979</v>
      </c>
      <c r="N25" s="246">
        <f t="shared" si="20"/>
        <v>17117908</v>
      </c>
    </row>
    <row r="26" spans="1:17" ht="19.899999999999999" hidden="1" customHeight="1">
      <c r="A26" s="21">
        <v>2013</v>
      </c>
      <c r="B26" s="22">
        <f t="shared" si="12"/>
        <v>3830230</v>
      </c>
      <c r="C26" s="22">
        <f t="shared" si="13"/>
        <v>4782709.45</v>
      </c>
      <c r="D26" s="22">
        <f t="shared" si="13"/>
        <v>2525995.85</v>
      </c>
      <c r="E26" s="22">
        <f t="shared" si="14"/>
        <v>239217</v>
      </c>
      <c r="F26" s="22">
        <f t="shared" si="15"/>
        <v>1729207.0999999999</v>
      </c>
      <c r="G26" s="22">
        <f t="shared" si="16"/>
        <v>50816</v>
      </c>
      <c r="H26" s="23">
        <f t="shared" si="17"/>
        <v>13158175.399999999</v>
      </c>
      <c r="I26" s="22">
        <f t="shared" si="18"/>
        <v>1658620</v>
      </c>
      <c r="J26" s="24">
        <f t="shared" si="19"/>
        <v>680266.10000000009</v>
      </c>
      <c r="K26" s="25">
        <f t="shared" si="21"/>
        <v>56913.5</v>
      </c>
      <c r="L26" s="25">
        <v>206583</v>
      </c>
      <c r="M26" s="244">
        <v>5979</v>
      </c>
      <c r="N26" s="246">
        <f t="shared" si="20"/>
        <v>15766536.999999998</v>
      </c>
    </row>
    <row r="27" spans="1:17" ht="19.899999999999999" hidden="1" customHeight="1">
      <c r="A27" s="21">
        <v>2014</v>
      </c>
      <c r="B27" s="22">
        <f t="shared" si="12"/>
        <v>3830551.0999999996</v>
      </c>
      <c r="C27" s="22">
        <f t="shared" si="13"/>
        <v>5268166.0999999996</v>
      </c>
      <c r="D27" s="22">
        <f t="shared" si="13"/>
        <v>2680368.9499999997</v>
      </c>
      <c r="E27" s="22">
        <f t="shared" si="14"/>
        <v>239227</v>
      </c>
      <c r="F27" s="22">
        <f t="shared" si="15"/>
        <v>1737038.9</v>
      </c>
      <c r="G27" s="22">
        <f t="shared" si="16"/>
        <v>50816</v>
      </c>
      <c r="H27" s="37">
        <f t="shared" si="17"/>
        <v>13806168.049999999</v>
      </c>
      <c r="I27" s="22">
        <f t="shared" si="18"/>
        <v>1837852</v>
      </c>
      <c r="J27" s="24">
        <f t="shared" si="19"/>
        <v>714370.45000000007</v>
      </c>
      <c r="K27" s="25">
        <f t="shared" si="21"/>
        <v>56913.5</v>
      </c>
      <c r="L27" s="25">
        <v>208041</v>
      </c>
      <c r="M27" s="244">
        <v>5979</v>
      </c>
      <c r="N27" s="246">
        <f t="shared" si="20"/>
        <v>16629323.999999998</v>
      </c>
    </row>
    <row r="28" spans="1:17" s="169" customFormat="1" ht="19.899999999999999" customHeight="1">
      <c r="A28" s="293">
        <v>2015</v>
      </c>
      <c r="B28" s="28">
        <f t="shared" si="12"/>
        <v>3830230.9499999997</v>
      </c>
      <c r="C28" s="28">
        <f t="shared" si="13"/>
        <v>5291940.8</v>
      </c>
      <c r="D28" s="28">
        <f t="shared" si="13"/>
        <v>2701905.4499999997</v>
      </c>
      <c r="E28" s="28">
        <f t="shared" si="14"/>
        <v>239207</v>
      </c>
      <c r="F28" s="28">
        <f t="shared" si="15"/>
        <v>1745993.5999999999</v>
      </c>
      <c r="G28" s="28">
        <f t="shared" si="16"/>
        <v>50816</v>
      </c>
      <c r="H28" s="23">
        <f t="shared" si="17"/>
        <v>13860093.799999999</v>
      </c>
      <c r="I28" s="28">
        <f t="shared" si="18"/>
        <v>1941998</v>
      </c>
      <c r="J28" s="24">
        <f t="shared" si="19"/>
        <v>717209.70000000007</v>
      </c>
      <c r="K28" s="297">
        <f>30913.5+26000</f>
        <v>56913.5</v>
      </c>
      <c r="L28" s="297">
        <v>208041</v>
      </c>
      <c r="M28" s="300">
        <v>5979</v>
      </c>
      <c r="N28" s="246">
        <f t="shared" si="20"/>
        <v>16790235</v>
      </c>
    </row>
    <row r="29" spans="1:17" s="169" customFormat="1" ht="19.899999999999999" customHeight="1">
      <c r="A29" s="293">
        <v>2016</v>
      </c>
      <c r="B29" s="28">
        <f t="shared" si="12"/>
        <v>3824618.3499999996</v>
      </c>
      <c r="C29" s="28">
        <f t="shared" si="13"/>
        <v>5483374.3499999996</v>
      </c>
      <c r="D29" s="28">
        <f t="shared" si="13"/>
        <v>2838707.35</v>
      </c>
      <c r="E29" s="28">
        <f t="shared" si="14"/>
        <v>238752</v>
      </c>
      <c r="F29" s="28">
        <f t="shared" si="15"/>
        <v>1816987.0999999999</v>
      </c>
      <c r="G29" s="28">
        <f t="shared" si="16"/>
        <v>50816</v>
      </c>
      <c r="H29" s="23">
        <f t="shared" si="17"/>
        <v>14253255.149999999</v>
      </c>
      <c r="I29" s="28">
        <f t="shared" si="18"/>
        <v>1904526</v>
      </c>
      <c r="J29" s="24">
        <f t="shared" si="19"/>
        <v>737926.35000000009</v>
      </c>
      <c r="K29" s="297">
        <f t="shared" si="21"/>
        <v>56913.5</v>
      </c>
      <c r="L29" s="297">
        <v>208041</v>
      </c>
      <c r="M29" s="300">
        <v>5979</v>
      </c>
      <c r="N29" s="246">
        <f t="shared" si="20"/>
        <v>17166641</v>
      </c>
    </row>
    <row r="30" spans="1:17" s="49" customFormat="1" ht="19.899999999999999" customHeight="1">
      <c r="A30" s="333">
        <v>2017</v>
      </c>
      <c r="B30" s="334">
        <f t="shared" si="12"/>
        <v>3983828.8499999996</v>
      </c>
      <c r="C30" s="334">
        <f t="shared" si="13"/>
        <v>5532336.3999999994</v>
      </c>
      <c r="D30" s="334">
        <f t="shared" si="13"/>
        <v>2855435.9</v>
      </c>
      <c r="E30" s="334">
        <f t="shared" si="14"/>
        <v>240226</v>
      </c>
      <c r="F30" s="334">
        <f t="shared" si="15"/>
        <v>1829107.2</v>
      </c>
      <c r="G30" s="334">
        <f t="shared" si="16"/>
        <v>50816</v>
      </c>
      <c r="H30" s="339">
        <f t="shared" si="17"/>
        <v>14491750.35</v>
      </c>
      <c r="I30" s="334">
        <f t="shared" si="18"/>
        <v>1889136</v>
      </c>
      <c r="J30" s="335">
        <f t="shared" si="19"/>
        <v>750401.15</v>
      </c>
      <c r="K30" s="336">
        <f t="shared" ref="K30:K38" si="22">30913.5+26000</f>
        <v>56913.5</v>
      </c>
      <c r="L30" s="336">
        <v>208041</v>
      </c>
      <c r="M30" s="337">
        <v>5979</v>
      </c>
      <c r="N30" s="338">
        <f t="shared" si="20"/>
        <v>17402221</v>
      </c>
    </row>
    <row r="31" spans="1:17" ht="19.899999999999999" customHeight="1">
      <c r="A31" s="333">
        <v>2018</v>
      </c>
      <c r="B31" s="334">
        <f t="shared" si="12"/>
        <v>4772174.95</v>
      </c>
      <c r="C31" s="334">
        <f t="shared" si="13"/>
        <v>6179290.1999999993</v>
      </c>
      <c r="D31" s="334">
        <f t="shared" si="13"/>
        <v>3104621.8499999996</v>
      </c>
      <c r="E31" s="334">
        <f t="shared" si="14"/>
        <v>330329</v>
      </c>
      <c r="F31" s="334">
        <f t="shared" si="15"/>
        <v>2214885.1</v>
      </c>
      <c r="G31" s="334">
        <f t="shared" si="16"/>
        <v>50816</v>
      </c>
      <c r="H31" s="339">
        <f>SUM(B31:G31)</f>
        <v>16652117.099999998</v>
      </c>
      <c r="I31" s="334">
        <f t="shared" si="18"/>
        <v>1811390</v>
      </c>
      <c r="J31" s="335">
        <f t="shared" si="19"/>
        <v>859362.4</v>
      </c>
      <c r="K31" s="336">
        <f t="shared" si="22"/>
        <v>56913.5</v>
      </c>
      <c r="L31" s="336">
        <v>208041</v>
      </c>
      <c r="M31" s="337">
        <v>5979</v>
      </c>
      <c r="N31" s="338">
        <f t="shared" ref="N31" si="23">SUM(H31:M31)</f>
        <v>19593802.999999996</v>
      </c>
    </row>
    <row r="32" spans="1:17" ht="19.899999999999999" customHeight="1">
      <c r="A32" s="293">
        <v>2019</v>
      </c>
      <c r="B32" s="334">
        <f t="shared" si="12"/>
        <v>4755174.7</v>
      </c>
      <c r="C32" s="334">
        <f t="shared" si="13"/>
        <v>6187190.3999999994</v>
      </c>
      <c r="D32" s="334">
        <f t="shared" si="13"/>
        <v>3142762.4499999997</v>
      </c>
      <c r="E32" s="334">
        <f t="shared" si="14"/>
        <v>328342</v>
      </c>
      <c r="F32" s="334">
        <f t="shared" si="15"/>
        <v>2238462.1999999997</v>
      </c>
      <c r="G32" s="334">
        <f t="shared" si="16"/>
        <v>50816</v>
      </c>
      <c r="H32" s="482">
        <f>SUM(B32:G32)</f>
        <v>16702747.749999998</v>
      </c>
      <c r="I32" s="334">
        <f t="shared" si="18"/>
        <v>1793536</v>
      </c>
      <c r="J32" s="335">
        <f t="shared" si="19"/>
        <v>862131.75</v>
      </c>
      <c r="K32" s="336">
        <f t="shared" si="22"/>
        <v>56913.5</v>
      </c>
      <c r="L32" s="336">
        <v>224158</v>
      </c>
      <c r="M32" s="337">
        <v>5979</v>
      </c>
      <c r="N32" s="338">
        <f t="shared" ref="N32" si="24">SUM(H32:M32)</f>
        <v>19645466</v>
      </c>
    </row>
    <row r="33" spans="1:16" ht="19.899999999999999" customHeight="1">
      <c r="A33" s="293">
        <v>2020</v>
      </c>
      <c r="B33" s="334">
        <f t="shared" si="12"/>
        <v>4821339.3499999996</v>
      </c>
      <c r="C33" s="334">
        <f t="shared" si="13"/>
        <v>6370766.5</v>
      </c>
      <c r="D33" s="334">
        <f t="shared" si="13"/>
        <v>3336657.4499999997</v>
      </c>
      <c r="E33" s="334">
        <f t="shared" si="14"/>
        <v>329553</v>
      </c>
      <c r="F33" s="334">
        <f t="shared" si="15"/>
        <v>2298400.5499999998</v>
      </c>
      <c r="G33" s="334">
        <f t="shared" si="16"/>
        <v>50816</v>
      </c>
      <c r="H33" s="482">
        <f t="shared" ref="H33:H36" si="25">SUM(B33:G33)</f>
        <v>17207532.849999998</v>
      </c>
      <c r="I33" s="334">
        <f t="shared" si="18"/>
        <v>1598413</v>
      </c>
      <c r="J33" s="335">
        <f t="shared" si="19"/>
        <v>888635.65</v>
      </c>
      <c r="K33" s="336">
        <f t="shared" si="22"/>
        <v>56913.5</v>
      </c>
      <c r="L33" s="336">
        <v>238385</v>
      </c>
      <c r="M33" s="337">
        <v>5979</v>
      </c>
      <c r="N33" s="338">
        <f t="shared" ref="N33:N36" si="26">SUM(H33:M33)</f>
        <v>19995858.999999996</v>
      </c>
    </row>
    <row r="34" spans="1:16" ht="19.899999999999999" customHeight="1">
      <c r="A34" s="293">
        <v>2021</v>
      </c>
      <c r="B34" s="334">
        <f t="shared" si="12"/>
        <v>4841760.55</v>
      </c>
      <c r="C34" s="334">
        <f t="shared" si="13"/>
        <v>6401721.2999999998</v>
      </c>
      <c r="D34" s="334">
        <f t="shared" si="13"/>
        <v>3443851.65</v>
      </c>
      <c r="E34" s="334">
        <f t="shared" si="14"/>
        <v>329201</v>
      </c>
      <c r="F34" s="334">
        <f t="shared" si="15"/>
        <v>2357360.4</v>
      </c>
      <c r="G34" s="334">
        <f t="shared" si="16"/>
        <v>50816</v>
      </c>
      <c r="H34" s="482">
        <f t="shared" si="25"/>
        <v>17424710.899999999</v>
      </c>
      <c r="I34" s="334">
        <f t="shared" si="18"/>
        <v>1590513</v>
      </c>
      <c r="J34" s="335">
        <f t="shared" si="19"/>
        <v>900084.60000000009</v>
      </c>
      <c r="K34" s="336">
        <f t="shared" si="22"/>
        <v>56913.5</v>
      </c>
      <c r="L34" s="336">
        <v>251436</v>
      </c>
      <c r="M34" s="337">
        <v>5979</v>
      </c>
      <c r="N34" s="338">
        <f t="shared" si="26"/>
        <v>20229637</v>
      </c>
    </row>
    <row r="35" spans="1:16" ht="19.899999999999999" customHeight="1">
      <c r="A35" s="516">
        <v>2022</v>
      </c>
      <c r="B35" s="519">
        <f t="shared" si="12"/>
        <v>4920275.2</v>
      </c>
      <c r="C35" s="519">
        <f t="shared" si="13"/>
        <v>6397993.5</v>
      </c>
      <c r="D35" s="519">
        <f t="shared" si="13"/>
        <v>3621236.5999999996</v>
      </c>
      <c r="E35" s="519">
        <f t="shared" si="14"/>
        <v>328497</v>
      </c>
      <c r="F35" s="519">
        <f t="shared" si="15"/>
        <v>2440551.9</v>
      </c>
      <c r="G35" s="519">
        <f t="shared" si="16"/>
        <v>50816</v>
      </c>
      <c r="H35" s="520">
        <f t="shared" si="25"/>
        <v>17759370.199999999</v>
      </c>
      <c r="I35" s="519">
        <f t="shared" si="18"/>
        <v>1740663</v>
      </c>
      <c r="J35" s="521">
        <f t="shared" si="19"/>
        <v>917735.3</v>
      </c>
      <c r="K35" s="336">
        <f t="shared" si="22"/>
        <v>56913.5</v>
      </c>
      <c r="L35" s="366">
        <v>264217</v>
      </c>
      <c r="M35" s="366">
        <v>5979</v>
      </c>
      <c r="N35" s="338">
        <f t="shared" si="26"/>
        <v>20744878</v>
      </c>
    </row>
    <row r="36" spans="1:16" ht="19.899999999999999" customHeight="1">
      <c r="A36" s="483">
        <v>2023</v>
      </c>
      <c r="B36" s="656">
        <f t="shared" si="12"/>
        <v>5039226.5999999996</v>
      </c>
      <c r="C36" s="656">
        <f t="shared" si="13"/>
        <v>6667473.3499999996</v>
      </c>
      <c r="D36" s="656">
        <f t="shared" si="13"/>
        <v>4495301.2</v>
      </c>
      <c r="E36" s="656">
        <f t="shared" si="14"/>
        <v>343647</v>
      </c>
      <c r="F36" s="656">
        <f t="shared" si="15"/>
        <v>2470802.75</v>
      </c>
      <c r="G36" s="656">
        <f t="shared" si="16"/>
        <v>50621</v>
      </c>
      <c r="H36" s="657">
        <f t="shared" si="25"/>
        <v>19067071.899999999</v>
      </c>
      <c r="I36" s="656">
        <f t="shared" si="18"/>
        <v>1725165</v>
      </c>
      <c r="J36" s="658">
        <f t="shared" si="19"/>
        <v>985774.60000000009</v>
      </c>
      <c r="K36" s="659">
        <f t="shared" si="22"/>
        <v>56913.5</v>
      </c>
      <c r="L36" s="660">
        <v>285535</v>
      </c>
      <c r="M36" s="660">
        <v>5979</v>
      </c>
      <c r="N36" s="661">
        <f t="shared" si="26"/>
        <v>22126439</v>
      </c>
    </row>
    <row r="37" spans="1:16" ht="19.899999999999999" customHeight="1">
      <c r="A37" s="517">
        <v>2024</v>
      </c>
      <c r="B37" s="656">
        <f t="shared" si="12"/>
        <v>5039226.5999999996</v>
      </c>
      <c r="C37" s="656">
        <f t="shared" si="13"/>
        <v>6667473.3499999996</v>
      </c>
      <c r="D37" s="656">
        <f t="shared" si="13"/>
        <v>4495301.2</v>
      </c>
      <c r="E37" s="656">
        <f t="shared" si="14"/>
        <v>343647</v>
      </c>
      <c r="F37" s="656">
        <f t="shared" si="15"/>
        <v>2470802.75</v>
      </c>
      <c r="G37" s="656">
        <f t="shared" si="16"/>
        <v>50621</v>
      </c>
      <c r="H37" s="657">
        <f t="shared" ref="H37" si="27">SUM(B37:G37)</f>
        <v>19067071.899999999</v>
      </c>
      <c r="I37" s="656">
        <f t="shared" si="18"/>
        <v>1725165</v>
      </c>
      <c r="J37" s="658">
        <f t="shared" si="19"/>
        <v>985774.60000000009</v>
      </c>
      <c r="K37" s="659">
        <f t="shared" si="22"/>
        <v>56913.5</v>
      </c>
      <c r="L37" s="660">
        <v>285535</v>
      </c>
      <c r="M37" s="660">
        <v>5979</v>
      </c>
      <c r="N37" s="661">
        <f t="shared" ref="N37" si="28">SUM(H37:M37)</f>
        <v>22126439</v>
      </c>
    </row>
    <row r="38" spans="1:16" ht="19.899999999999999" customHeight="1">
      <c r="A38" s="517">
        <v>2025</v>
      </c>
      <c r="B38" s="656">
        <f t="shared" si="12"/>
        <v>5039226.5999999996</v>
      </c>
      <c r="C38" s="656">
        <f t="shared" si="13"/>
        <v>6667473.3499999996</v>
      </c>
      <c r="D38" s="656">
        <f t="shared" si="13"/>
        <v>4495301.2</v>
      </c>
      <c r="E38" s="656">
        <f t="shared" si="14"/>
        <v>343647</v>
      </c>
      <c r="F38" s="656">
        <f t="shared" si="15"/>
        <v>2470802.75</v>
      </c>
      <c r="G38" s="656">
        <f t="shared" si="16"/>
        <v>50621</v>
      </c>
      <c r="H38" s="657">
        <f t="shared" ref="H38" si="29">SUM(B38:G38)</f>
        <v>19067071.899999999</v>
      </c>
      <c r="I38" s="656">
        <f t="shared" si="18"/>
        <v>1725165</v>
      </c>
      <c r="J38" s="658">
        <f t="shared" si="19"/>
        <v>985774.60000000009</v>
      </c>
      <c r="K38" s="659">
        <f t="shared" si="22"/>
        <v>56913.5</v>
      </c>
      <c r="L38" s="660">
        <v>285535</v>
      </c>
      <c r="M38" s="660">
        <v>5979</v>
      </c>
      <c r="N38" s="661">
        <f t="shared" ref="N38" si="30">SUM(H38:M38)</f>
        <v>22126439</v>
      </c>
    </row>
    <row r="39" spans="1:16" ht="19.899999999999999" customHeight="1">
      <c r="A39" s="26"/>
      <c r="B39" s="20"/>
      <c r="C39" s="20"/>
      <c r="D39" s="20"/>
      <c r="E39" s="20"/>
      <c r="F39" s="20"/>
      <c r="G39" s="20"/>
      <c r="H39" s="20"/>
      <c r="I39" s="20"/>
    </row>
    <row r="40" spans="1:16" ht="19.899999999999999" customHeight="1">
      <c r="A40" s="179" t="s">
        <v>52</v>
      </c>
      <c r="B40" s="179" t="s">
        <v>46</v>
      </c>
      <c r="C40" s="179" t="s">
        <v>38</v>
      </c>
      <c r="D40" s="179" t="s">
        <v>39</v>
      </c>
      <c r="E40" s="179" t="s">
        <v>40</v>
      </c>
      <c r="F40" s="179" t="s">
        <v>41</v>
      </c>
      <c r="G40" s="179" t="s">
        <v>42</v>
      </c>
      <c r="H40" s="177" t="s">
        <v>47</v>
      </c>
      <c r="I40" s="177" t="s">
        <v>48</v>
      </c>
      <c r="J40" s="177" t="s">
        <v>49</v>
      </c>
      <c r="K40" s="177" t="s">
        <v>250</v>
      </c>
      <c r="L40" s="177" t="s">
        <v>146</v>
      </c>
      <c r="M40" s="243" t="s">
        <v>50</v>
      </c>
      <c r="N40" s="245" t="s">
        <v>51</v>
      </c>
    </row>
    <row r="41" spans="1:16" ht="19.899999999999999" hidden="1" customHeight="1">
      <c r="A41" s="21" t="s">
        <v>53</v>
      </c>
      <c r="B41" s="22">
        <f t="shared" ref="B41:G41" si="31">ROUND(((B22*0.25)+B23+(B24*0.75)),0)</f>
        <v>8518948</v>
      </c>
      <c r="C41" s="22">
        <f t="shared" si="31"/>
        <v>10345865</v>
      </c>
      <c r="D41" s="22">
        <f t="shared" si="31"/>
        <v>5206347</v>
      </c>
      <c r="E41" s="22">
        <f t="shared" si="31"/>
        <v>509444</v>
      </c>
      <c r="F41" s="22">
        <f t="shared" si="31"/>
        <v>3574128</v>
      </c>
      <c r="G41" s="22">
        <f t="shared" si="31"/>
        <v>114862</v>
      </c>
      <c r="H41" s="27">
        <f t="shared" ref="H41:H45" si="32">SUM(B41:G41)</f>
        <v>28269594</v>
      </c>
      <c r="I41" s="25">
        <f>ROUND(((I22*0.25)+I23+(I24*0.75)),0)</f>
        <v>3553804</v>
      </c>
      <c r="J41" s="25">
        <f>ROUND(((J22*0.25)+J23+(J24*0.75)),0)</f>
        <v>1461006</v>
      </c>
      <c r="K41" s="25">
        <f>ROUND(((K22*0.25)+K23+(K24*0.75)),0)</f>
        <v>113827</v>
      </c>
      <c r="L41" s="25">
        <f>ROUND(((L22*0.25)+L23+(L24*0.75)),0)</f>
        <v>424470</v>
      </c>
      <c r="M41" s="244">
        <f>ROUND(((M22*0.25)+M23+(M24*0.75)),0)</f>
        <v>11958</v>
      </c>
      <c r="N41" s="246">
        <f t="shared" ref="N41:N45" si="33">SUM(H41:M41)</f>
        <v>33834659</v>
      </c>
    </row>
    <row r="42" spans="1:16" ht="19.899999999999999" hidden="1" customHeight="1">
      <c r="A42" s="21" t="s">
        <v>54</v>
      </c>
      <c r="B42" s="22">
        <f>((B24*0.25)+B25+(B26*0.75))</f>
        <v>8250708.2999999998</v>
      </c>
      <c r="C42" s="22">
        <f t="shared" ref="C42:G42" si="34">((C24*0.25)+C25+(C26*0.75))</f>
        <v>10125901.0875</v>
      </c>
      <c r="D42" s="22">
        <f t="shared" si="34"/>
        <v>5190486.9749999996</v>
      </c>
      <c r="E42" s="22">
        <f t="shared" si="34"/>
        <v>496936.5</v>
      </c>
      <c r="F42" s="22">
        <f t="shared" si="34"/>
        <v>3556537.5625</v>
      </c>
      <c r="G42" s="22">
        <f t="shared" si="34"/>
        <v>110333</v>
      </c>
      <c r="H42" s="27">
        <f t="shared" si="32"/>
        <v>27730903.424999997</v>
      </c>
      <c r="I42" s="25">
        <f>((I24*0.25)+I25+(I26*0.75))</f>
        <v>3486630.75</v>
      </c>
      <c r="J42" s="25">
        <f>((J24*0.25)+J25+(J26*0.75))</f>
        <v>1433550.5750000002</v>
      </c>
      <c r="K42" s="25">
        <f>((K24*0.25)+K25+(K26*0.75))</f>
        <v>113827</v>
      </c>
      <c r="L42" s="25">
        <f>((L24*0.25)+L25+(L26*0.75))</f>
        <v>424152</v>
      </c>
      <c r="M42" s="244">
        <f>((M24*0.25)+M25+(M26*0.75))</f>
        <v>11958</v>
      </c>
      <c r="N42" s="246">
        <f t="shared" si="33"/>
        <v>33201021.749999996</v>
      </c>
    </row>
    <row r="43" spans="1:16" ht="19.899999999999999" customHeight="1">
      <c r="A43" s="21" t="s">
        <v>55</v>
      </c>
      <c r="B43" s="22">
        <f t="shared" ref="B43:G43" si="35">((B26*0.25)+B27+(B28*0.75))</f>
        <v>7660781.8125</v>
      </c>
      <c r="C43" s="22">
        <f t="shared" si="35"/>
        <v>10432799.0625</v>
      </c>
      <c r="D43" s="22">
        <f t="shared" si="35"/>
        <v>5338297</v>
      </c>
      <c r="E43" s="22">
        <f t="shared" si="35"/>
        <v>478436.5</v>
      </c>
      <c r="F43" s="22">
        <f t="shared" si="35"/>
        <v>3478835.875</v>
      </c>
      <c r="G43" s="22">
        <f t="shared" si="35"/>
        <v>101632</v>
      </c>
      <c r="H43" s="27">
        <f t="shared" si="32"/>
        <v>27490782.25</v>
      </c>
      <c r="I43" s="22">
        <f>((I26*0.25)+I27+(I28*0.75))</f>
        <v>3709005.5</v>
      </c>
      <c r="J43" s="22">
        <f>((J26*0.25)+J27+(J28*0.75))</f>
        <v>1422344.25</v>
      </c>
      <c r="K43" s="22">
        <f>((K26*0.25)+K27+(K28*0.75))</f>
        <v>113827</v>
      </c>
      <c r="L43" s="22">
        <f>((L26*0.25)+L27+(L28*0.75))</f>
        <v>415717.5</v>
      </c>
      <c r="M43" s="247">
        <f>((M26*0.25)+M27+(M28*0.75))</f>
        <v>11958</v>
      </c>
      <c r="N43" s="246">
        <f t="shared" si="33"/>
        <v>33163634.5</v>
      </c>
    </row>
    <row r="44" spans="1:16" s="49" customFormat="1" ht="19.899999999999999" customHeight="1" thickBot="1">
      <c r="A44" s="21" t="s">
        <v>313</v>
      </c>
      <c r="B44" s="312">
        <f>((B28*0.25)+B29+(B30*0.75))</f>
        <v>7770047.7249999996</v>
      </c>
      <c r="C44" s="312">
        <f t="shared" ref="C44:G45" si="36">((C28*0.25)+C29+(C30*0.75))</f>
        <v>10955611.85</v>
      </c>
      <c r="D44" s="312">
        <f t="shared" si="36"/>
        <v>5655760.6374999993</v>
      </c>
      <c r="E44" s="312">
        <f t="shared" si="36"/>
        <v>478723.25</v>
      </c>
      <c r="F44" s="312">
        <f t="shared" si="36"/>
        <v>3625315.9</v>
      </c>
      <c r="G44" s="312">
        <f t="shared" si="36"/>
        <v>101632</v>
      </c>
      <c r="H44" s="313">
        <f t="shared" si="32"/>
        <v>28587091.362499997</v>
      </c>
      <c r="I44" s="312">
        <f t="shared" ref="I44:M45" si="37">((I28*0.25)+I29+(I30*0.75))</f>
        <v>3806877.5</v>
      </c>
      <c r="J44" s="312">
        <f t="shared" si="37"/>
        <v>1480029.6375000002</v>
      </c>
      <c r="K44" s="312">
        <f t="shared" si="37"/>
        <v>113827</v>
      </c>
      <c r="L44" s="312">
        <f t="shared" si="37"/>
        <v>416082</v>
      </c>
      <c r="M44" s="314">
        <f t="shared" si="37"/>
        <v>11958</v>
      </c>
      <c r="N44" s="315">
        <f t="shared" si="33"/>
        <v>34415865.5</v>
      </c>
      <c r="P44" s="316"/>
    </row>
    <row r="45" spans="1:16" s="49" customFormat="1" ht="19.899999999999999" customHeight="1" thickBot="1">
      <c r="A45" s="361" t="s">
        <v>318</v>
      </c>
      <c r="B45" s="312">
        <f>((B30*0.25)+B31+(B32*0.75))</f>
        <v>9334513.1875</v>
      </c>
      <c r="C45" s="312">
        <f t="shared" si="36"/>
        <v>11537647.637499999</v>
      </c>
      <c r="D45" s="312">
        <f t="shared" si="36"/>
        <v>5893579.125</v>
      </c>
      <c r="E45" s="312">
        <f t="shared" si="36"/>
        <v>547660.75</v>
      </c>
      <c r="F45" s="312">
        <f t="shared" si="36"/>
        <v>3944517.8000000003</v>
      </c>
      <c r="G45" s="312">
        <f t="shared" si="36"/>
        <v>101632</v>
      </c>
      <c r="H45" s="313">
        <f t="shared" si="32"/>
        <v>31359550.5</v>
      </c>
      <c r="I45" s="312">
        <f t="shared" si="37"/>
        <v>3723810</v>
      </c>
      <c r="J45" s="312">
        <f t="shared" si="37"/>
        <v>1579404.5375000001</v>
      </c>
      <c r="K45" s="312">
        <f t="shared" si="37"/>
        <v>113827</v>
      </c>
      <c r="L45" s="312">
        <f t="shared" si="37"/>
        <v>416082</v>
      </c>
      <c r="M45" s="314">
        <f t="shared" si="37"/>
        <v>11958</v>
      </c>
      <c r="N45" s="315">
        <f t="shared" si="33"/>
        <v>37204632.037500001</v>
      </c>
      <c r="P45" s="316"/>
    </row>
    <row r="46" spans="1:16" ht="19.899999999999999" customHeight="1" thickBot="1">
      <c r="A46" s="248" t="s">
        <v>380</v>
      </c>
      <c r="B46" s="662">
        <f t="shared" ref="B46:N46" si="38">((B32*0.25)+B33+(B34*0.75))</f>
        <v>9641453.4375</v>
      </c>
      <c r="C46" s="662">
        <f t="shared" si="38"/>
        <v>12718855.074999999</v>
      </c>
      <c r="D46" s="662">
        <f t="shared" si="38"/>
        <v>6705236.7999999989</v>
      </c>
      <c r="E46" s="662">
        <f t="shared" si="38"/>
        <v>658539.25</v>
      </c>
      <c r="F46" s="662">
        <f t="shared" si="38"/>
        <v>4626036.3999999994</v>
      </c>
      <c r="G46" s="662">
        <f t="shared" si="38"/>
        <v>101632</v>
      </c>
      <c r="H46" s="663">
        <f t="shared" si="38"/>
        <v>34451752.962499999</v>
      </c>
      <c r="I46" s="662">
        <f t="shared" si="38"/>
        <v>3239681.75</v>
      </c>
      <c r="J46" s="662">
        <f t="shared" si="38"/>
        <v>1779232.0375000001</v>
      </c>
      <c r="K46" s="662">
        <f t="shared" si="38"/>
        <v>113827</v>
      </c>
      <c r="L46" s="662">
        <f t="shared" si="38"/>
        <v>483001.5</v>
      </c>
      <c r="M46" s="664">
        <f t="shared" si="38"/>
        <v>11958</v>
      </c>
      <c r="N46" s="665">
        <f t="shared" si="38"/>
        <v>40079453.25</v>
      </c>
      <c r="P46" s="302"/>
    </row>
    <row r="47" spans="1:16" ht="15.75" thickBot="1">
      <c r="A47" s="248" t="s">
        <v>418</v>
      </c>
      <c r="B47" s="662">
        <f t="shared" ref="B47:N47" si="39">((B34*0.25)+B35+(B36*0.75))</f>
        <v>9910135.2874999996</v>
      </c>
      <c r="C47" s="662">
        <f t="shared" si="39"/>
        <v>12999028.837499999</v>
      </c>
      <c r="D47" s="662">
        <f t="shared" si="39"/>
        <v>7853675.4124999996</v>
      </c>
      <c r="E47" s="662">
        <f t="shared" si="39"/>
        <v>668532.5</v>
      </c>
      <c r="F47" s="662">
        <f t="shared" si="39"/>
        <v>4882994.0625</v>
      </c>
      <c r="G47" s="662">
        <f t="shared" si="39"/>
        <v>101485.75</v>
      </c>
      <c r="H47" s="663">
        <f t="shared" si="39"/>
        <v>36415851.849999994</v>
      </c>
      <c r="I47" s="662">
        <f t="shared" si="39"/>
        <v>3432165</v>
      </c>
      <c r="J47" s="662">
        <f t="shared" si="39"/>
        <v>1882087.4000000004</v>
      </c>
      <c r="K47" s="662">
        <f t="shared" si="39"/>
        <v>113827</v>
      </c>
      <c r="L47" s="662">
        <f t="shared" si="39"/>
        <v>541227.25</v>
      </c>
      <c r="M47" s="664">
        <f t="shared" si="39"/>
        <v>11958</v>
      </c>
      <c r="N47" s="666">
        <f t="shared" si="39"/>
        <v>42397116.5</v>
      </c>
    </row>
    <row r="48" spans="1:16" ht="15.75" thickBot="1">
      <c r="A48" s="248" t="s">
        <v>439</v>
      </c>
      <c r="B48" s="662">
        <f t="shared" ref="B48:N48" si="40">((B36*0.25)+B37+(B38*0.75))</f>
        <v>10078453.199999999</v>
      </c>
      <c r="C48" s="662">
        <f t="shared" si="40"/>
        <v>13334946.699999999</v>
      </c>
      <c r="D48" s="662">
        <f t="shared" si="40"/>
        <v>8990602.4000000004</v>
      </c>
      <c r="E48" s="662">
        <f t="shared" si="40"/>
        <v>687294</v>
      </c>
      <c r="F48" s="662">
        <f t="shared" si="40"/>
        <v>4941605.5</v>
      </c>
      <c r="G48" s="662">
        <f t="shared" si="40"/>
        <v>101242</v>
      </c>
      <c r="H48" s="663">
        <f t="shared" si="40"/>
        <v>38134143.799999997</v>
      </c>
      <c r="I48" s="662">
        <f t="shared" si="40"/>
        <v>3450330</v>
      </c>
      <c r="J48" s="662">
        <f t="shared" si="40"/>
        <v>1971549.2000000002</v>
      </c>
      <c r="K48" s="662">
        <f t="shared" si="40"/>
        <v>113827</v>
      </c>
      <c r="L48" s="662">
        <f t="shared" si="40"/>
        <v>571070</v>
      </c>
      <c r="M48" s="664">
        <f t="shared" si="40"/>
        <v>11958</v>
      </c>
      <c r="N48" s="666">
        <f t="shared" si="40"/>
        <v>44252878</v>
      </c>
    </row>
    <row r="49" spans="14:14">
      <c r="N49" s="301"/>
    </row>
  </sheetData>
  <sheetProtection algorithmName="SHA-512" hashValue="p230fJwxwqtpXN8nU/X/vGC50ialMfNj2f4ddnLeNSRJ0IR0Io/C+ldFM+LDyNyFSOmRby9/0v1JrBcSoUL4YQ==" saltValue="Hz2xH2oxbgpqy2OGEdSfOg==" spinCount="100000" sheet="1" objects="1" scenarios="1"/>
  <pageMargins left="0.75" right="0.75" top="1" bottom="0.5" header="0.25" footer="0.3"/>
  <pageSetup paperSize="3" orientation="landscape" horizontalDpi="1200" verticalDpi="1200" r:id="rId1"/>
  <headerFooter>
    <oddHeader>&amp;L&amp;G&amp;C&amp;"-,Bold"&amp;16 2023-2025 planning allocation
to Area Agencies on Aging</oddHeader>
  </headerFooter>
  <legacyDrawing r:id="rId2"/>
  <legacyDrawingHF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tabColor rgb="FFFFFF66"/>
  </sheetPr>
  <dimension ref="A1:AI28"/>
  <sheetViews>
    <sheetView zoomScaleNormal="100" zoomScaleSheetLayoutView="100" zoomScalePageLayoutView="51" workbookViewId="0">
      <pane xSplit="2" topLeftCell="C1" activePane="topRight" state="frozen"/>
      <selection pane="topRight" activeCell="M11" sqref="M11"/>
    </sheetView>
  </sheetViews>
  <sheetFormatPr defaultColWidth="14.140625" defaultRowHeight="18.75"/>
  <cols>
    <col min="1" max="1" width="10.5703125" customWidth="1" collapsed="1"/>
    <col min="2" max="2" width="11.7109375" style="26" customWidth="1" collapsed="1"/>
    <col min="3" max="3" width="13.28515625" customWidth="1" collapsed="1"/>
    <col min="4" max="4" width="13.42578125" customWidth="1" collapsed="1"/>
    <col min="5" max="5" width="12.7109375" customWidth="1" collapsed="1"/>
    <col min="6" max="6" width="12.5703125" customWidth="1" collapsed="1"/>
    <col min="7" max="7" width="12.28515625" customWidth="1" collapsed="1"/>
    <col min="8" max="8" width="13.28515625" customWidth="1" collapsed="1"/>
    <col min="9" max="9" width="15.140625" bestFit="1" customWidth="1" collapsed="1"/>
    <col min="10" max="10" width="7.5703125" customWidth="1" collapsed="1"/>
    <col min="11" max="11" width="10.42578125" style="340" hidden="1" customWidth="1"/>
    <col min="12" max="12" width="15.42578125" style="491" customWidth="1"/>
    <col min="13" max="13" width="12.28515625" customWidth="1" collapsed="1"/>
    <col min="14" max="14" width="7" customWidth="1" collapsed="1"/>
    <col min="15" max="15" width="10.85546875" style="180" hidden="1" customWidth="1"/>
    <col min="16" max="17" width="12.140625" style="367" customWidth="1" collapsed="1"/>
    <col min="18" max="18" width="7.85546875" style="49" customWidth="1" collapsed="1"/>
    <col min="19" max="19" width="10.140625" style="367" hidden="1" customWidth="1" collapsed="1"/>
    <col min="20" max="20" width="11" style="49" hidden="1" customWidth="1" collapsed="1"/>
    <col min="21" max="21" width="13.42578125" style="367" customWidth="1" collapsed="1"/>
    <col min="22" max="22" width="7" style="49" customWidth="1" collapsed="1"/>
    <col min="23" max="23" width="14.42578125" style="367" customWidth="1" collapsed="1"/>
    <col min="24" max="24" width="7" style="49" customWidth="1" collapsed="1"/>
    <col min="25" max="25" width="14.5703125" style="49" customWidth="1"/>
    <col min="26" max="26" width="6.7109375" style="49" customWidth="1"/>
    <col min="27" max="27" width="14.5703125" style="49" customWidth="1"/>
    <col min="28" max="28" width="7" style="49" customWidth="1"/>
    <col min="29" max="29" width="13.28515625" style="49" customWidth="1"/>
    <col min="30" max="30" width="15.28515625" style="49" customWidth="1" collapsed="1"/>
    <col min="31" max="31" width="13.28515625" style="49" bestFit="1" customWidth="1" collapsed="1"/>
    <col min="32" max="32" width="12.5703125" style="49" bestFit="1" customWidth="1" collapsed="1"/>
    <col min="33" max="33" width="14.42578125" style="343" bestFit="1" customWidth="1" collapsed="1"/>
    <col min="34" max="34" width="10.7109375" customWidth="1" collapsed="1"/>
    <col min="35" max="35" width="8.42578125" bestFit="1" customWidth="1"/>
  </cols>
  <sheetData>
    <row r="1" spans="1:35" s="446" customFormat="1" ht="110.25">
      <c r="A1" s="589"/>
      <c r="B1" s="589"/>
      <c r="C1" s="589" t="s">
        <v>468</v>
      </c>
      <c r="D1" s="589" t="s">
        <v>469</v>
      </c>
      <c r="E1" s="589" t="s">
        <v>470</v>
      </c>
      <c r="F1" s="589" t="s">
        <v>471</v>
      </c>
      <c r="G1" s="589" t="s">
        <v>472</v>
      </c>
      <c r="H1" s="589" t="s">
        <v>473</v>
      </c>
      <c r="I1" s="590" t="s">
        <v>239</v>
      </c>
      <c r="J1" s="589" t="s">
        <v>240</v>
      </c>
      <c r="K1" s="667" t="s">
        <v>453</v>
      </c>
      <c r="L1" s="667" t="s">
        <v>467</v>
      </c>
      <c r="M1" s="589" t="s">
        <v>198</v>
      </c>
      <c r="N1" s="589" t="s">
        <v>241</v>
      </c>
      <c r="O1" s="672" t="s">
        <v>466</v>
      </c>
      <c r="P1" s="591" t="s">
        <v>237</v>
      </c>
      <c r="Q1" s="592" t="s">
        <v>242</v>
      </c>
      <c r="R1" s="592" t="s">
        <v>243</v>
      </c>
      <c r="S1" s="592" t="s">
        <v>244</v>
      </c>
      <c r="T1" s="592" t="s">
        <v>245</v>
      </c>
      <c r="U1" s="592" t="s">
        <v>562</v>
      </c>
      <c r="V1" s="592" t="s">
        <v>238</v>
      </c>
      <c r="W1" s="592" t="s">
        <v>247</v>
      </c>
      <c r="X1" s="592" t="s">
        <v>246</v>
      </c>
      <c r="Y1" s="592" t="s">
        <v>421</v>
      </c>
      <c r="Z1" s="592" t="s">
        <v>422</v>
      </c>
      <c r="AA1" s="592" t="s">
        <v>423</v>
      </c>
      <c r="AB1" s="592" t="s">
        <v>422</v>
      </c>
      <c r="AC1" s="592" t="s">
        <v>424</v>
      </c>
      <c r="AD1" s="592" t="s">
        <v>170</v>
      </c>
      <c r="AE1" s="592" t="s">
        <v>171</v>
      </c>
      <c r="AF1" s="592" t="s">
        <v>172</v>
      </c>
      <c r="AG1" s="593" t="s">
        <v>465</v>
      </c>
      <c r="AH1" s="594" t="s">
        <v>224</v>
      </c>
      <c r="AI1" s="595" t="s">
        <v>381</v>
      </c>
    </row>
    <row r="2" spans="1:35" s="446" customFormat="1" ht="22.5" customHeight="1" thickBot="1">
      <c r="A2" s="544"/>
      <c r="B2" s="565" t="s">
        <v>462</v>
      </c>
      <c r="C2" s="565">
        <v>93.043999999999997</v>
      </c>
      <c r="D2" s="565">
        <v>93.045000000000002</v>
      </c>
      <c r="E2" s="565">
        <v>93.045000000000002</v>
      </c>
      <c r="F2" s="565">
        <v>93.043000000000006</v>
      </c>
      <c r="G2" s="565">
        <v>93.052000000000007</v>
      </c>
      <c r="H2" s="565">
        <v>93.042000000000002</v>
      </c>
      <c r="I2" s="545"/>
      <c r="J2" s="565"/>
      <c r="K2" s="668" t="s">
        <v>416</v>
      </c>
      <c r="L2" s="668" t="s">
        <v>416</v>
      </c>
      <c r="M2" s="565">
        <v>93.052999999999997</v>
      </c>
      <c r="N2" s="565"/>
      <c r="O2" s="618"/>
      <c r="P2" s="619">
        <v>93.045000000000002</v>
      </c>
      <c r="Q2" s="620">
        <v>99.998999999999995</v>
      </c>
      <c r="R2" s="620"/>
      <c r="S2" s="620"/>
      <c r="T2" s="620"/>
      <c r="U2" s="620">
        <v>99.998999999999995</v>
      </c>
      <c r="V2" s="620"/>
      <c r="W2" s="620">
        <v>99.998999999999995</v>
      </c>
      <c r="X2" s="620"/>
      <c r="Y2" s="620" t="s">
        <v>420</v>
      </c>
      <c r="Z2" s="620"/>
      <c r="AA2" s="620" t="s">
        <v>420</v>
      </c>
      <c r="AB2" s="620"/>
      <c r="AC2" s="620" t="s">
        <v>425</v>
      </c>
      <c r="AD2" s="620" t="s">
        <v>417</v>
      </c>
      <c r="AE2" s="620" t="s">
        <v>417</v>
      </c>
      <c r="AF2" s="620" t="s">
        <v>417</v>
      </c>
      <c r="AG2" s="620"/>
      <c r="AH2" s="565"/>
      <c r="AI2" s="543"/>
    </row>
    <row r="3" spans="1:35" s="446" customFormat="1" ht="19.5" customHeight="1" thickTop="1">
      <c r="A3" s="558" t="s">
        <v>415</v>
      </c>
      <c r="B3" s="564" t="s">
        <v>58</v>
      </c>
      <c r="C3" s="566"/>
      <c r="D3" s="567"/>
      <c r="E3" s="567"/>
      <c r="F3" s="567"/>
      <c r="G3" s="567"/>
      <c r="H3" s="567"/>
      <c r="I3" s="545"/>
      <c r="J3" s="567"/>
      <c r="K3" s="568"/>
      <c r="L3" s="568"/>
      <c r="M3" s="567"/>
      <c r="N3" s="567"/>
      <c r="O3" s="569"/>
      <c r="P3" s="546"/>
      <c r="Q3" s="570"/>
      <c r="R3" s="570"/>
      <c r="S3" s="570"/>
      <c r="T3" s="570"/>
      <c r="U3" s="570"/>
      <c r="V3" s="570"/>
      <c r="W3" s="570"/>
      <c r="X3" s="570"/>
      <c r="Y3" s="570"/>
      <c r="Z3" s="570"/>
      <c r="AA3" s="570"/>
      <c r="AB3" s="570"/>
      <c r="AC3" s="570"/>
      <c r="AD3" s="570"/>
      <c r="AE3" s="570"/>
      <c r="AF3" s="570"/>
      <c r="AG3" s="571"/>
      <c r="AH3" s="572"/>
      <c r="AI3" s="573"/>
    </row>
    <row r="4" spans="1:35" s="431" customFormat="1" ht="15.75">
      <c r="A4" s="557">
        <f t="shared" ref="A4:A19" si="0">AI4</f>
        <v>181168</v>
      </c>
      <c r="B4" s="559" t="s">
        <v>72</v>
      </c>
      <c r="C4" s="599">
        <f>'6. III B'!F24</f>
        <v>418051.58640362672</v>
      </c>
      <c r="D4" s="371">
        <f>'7. III C-1'!E20</f>
        <v>475842</v>
      </c>
      <c r="E4" s="371">
        <f>'8. III C-2'!E19</f>
        <v>317089</v>
      </c>
      <c r="F4" s="371">
        <f>'9. III D'!E19</f>
        <v>25739</v>
      </c>
      <c r="G4" s="371">
        <f>'10. III E'!E19</f>
        <v>218065.88314330828</v>
      </c>
      <c r="H4" s="371">
        <f>'11. VII B'!F19</f>
        <v>4364</v>
      </c>
      <c r="I4" s="429">
        <f t="shared" ref="I4:I19" si="1">SUM(C4:H4)</f>
        <v>1459151.4695469351</v>
      </c>
      <c r="J4" s="601">
        <f t="shared" ref="J4:J19" si="2">SUM(I4/$I$20)</f>
        <v>3.8263649180392878E-2</v>
      </c>
      <c r="K4" s="669">
        <f>'12. 21-23 Unspent'!I2</f>
        <v>0</v>
      </c>
      <c r="L4" s="371">
        <f>'21-23 Unspent-COVID'!J2</f>
        <v>532229.04</v>
      </c>
      <c r="M4" s="371">
        <f>'13. NSIP'!F19</f>
        <v>161135</v>
      </c>
      <c r="N4" s="601">
        <f t="shared" ref="N4:N19" si="3">M4/$M$20</f>
        <v>4.6701330017708452E-2</v>
      </c>
      <c r="O4" s="371">
        <f>'NSIP-19-21 Unspent'!E23</f>
        <v>0</v>
      </c>
      <c r="P4" s="602">
        <f>2151+2000</f>
        <v>4151</v>
      </c>
      <c r="Q4" s="371">
        <f>'14. SPA-Seq Mit.'!B18</f>
        <v>71670</v>
      </c>
      <c r="R4" s="601">
        <f t="shared" ref="R4:R17" si="4">SUM(Q4/$Q$20)</f>
        <v>3.5024480973550577E-2</v>
      </c>
      <c r="S4" s="603">
        <f>'15. SPA - EB'!D20</f>
        <v>-3.5568576624560994E-4</v>
      </c>
      <c r="T4" s="601"/>
      <c r="U4" s="371">
        <f>'16. OPI 60+'!D18</f>
        <v>411576</v>
      </c>
      <c r="V4" s="601">
        <f t="shared" ref="V4:V19" si="5">SUM(U4/$U$20)</f>
        <v>3.946877833747351E-2</v>
      </c>
      <c r="W4" s="604">
        <f>'17. OPI 19-59'!D18</f>
        <v>198095.71207160395</v>
      </c>
      <c r="X4" s="601">
        <f t="shared" ref="X4:X19" si="6">SUM(W4/$W$20)</f>
        <v>6.7027258817304966E-2</v>
      </c>
      <c r="Y4" s="605">
        <v>479857</v>
      </c>
      <c r="Z4" s="606">
        <v>0.04</v>
      </c>
      <c r="AA4" s="607"/>
      <c r="AB4" s="606"/>
      <c r="AC4" s="605"/>
      <c r="AD4" s="371"/>
      <c r="AE4" s="371"/>
      <c r="AF4" s="371"/>
      <c r="AG4" s="596">
        <f t="shared" ref="AG4:AG11" si="7">SUM(I4,K4,L4,M4,O4,P4,Q4,S4,U4,W4,Y4,AA4,AD4,AE4,AF4)</f>
        <v>3317865.2212628536</v>
      </c>
      <c r="AH4" s="430">
        <f t="shared" ref="AH4:AH19" si="8">SUM(AG4/$AG$20)</f>
        <v>8.3646854066295358E-3</v>
      </c>
      <c r="AI4" s="500">
        <v>181168</v>
      </c>
    </row>
    <row r="5" spans="1:35" s="431" customFormat="1" ht="15.75">
      <c r="A5" s="556">
        <f t="shared" si="0"/>
        <v>181169</v>
      </c>
      <c r="B5" s="559" t="s">
        <v>61</v>
      </c>
      <c r="C5" s="371">
        <f>'6. III B'!F25</f>
        <v>172650.20799801976</v>
      </c>
      <c r="D5" s="371">
        <f>'7. III C-1'!E21</f>
        <v>190534</v>
      </c>
      <c r="E5" s="371">
        <f>'8. III C-2'!E20</f>
        <v>121755</v>
      </c>
      <c r="F5" s="371">
        <f>'9. III D'!E20</f>
        <v>10212</v>
      </c>
      <c r="G5" s="371">
        <f>'10. III E'!E20</f>
        <v>59798.191021984872</v>
      </c>
      <c r="H5" s="371">
        <f>'11. VII B'!F20</f>
        <v>2090</v>
      </c>
      <c r="I5" s="429">
        <f t="shared" si="1"/>
        <v>557039.39902000467</v>
      </c>
      <c r="J5" s="601">
        <f t="shared" si="2"/>
        <v>1.4607366396565003E-2</v>
      </c>
      <c r="K5" s="669">
        <f>'12. 21-23 Unspent'!I3</f>
        <v>0</v>
      </c>
      <c r="L5" s="371">
        <f>'21-23 Unspent-COVID'!J3</f>
        <v>90637.670000000013</v>
      </c>
      <c r="M5" s="371">
        <f>'13. NSIP'!F20</f>
        <v>84376</v>
      </c>
      <c r="N5" s="601">
        <f t="shared" si="3"/>
        <v>2.4454472470749174E-2</v>
      </c>
      <c r="O5" s="371">
        <f>'NSIP-19-21 Unspent'!E24</f>
        <v>0</v>
      </c>
      <c r="P5" s="602">
        <v>2000</v>
      </c>
      <c r="Q5" s="371">
        <f>'14. SPA-Seq Mit.'!B19</f>
        <v>26812</v>
      </c>
      <c r="R5" s="601">
        <f t="shared" si="4"/>
        <v>1.3102781971017694E-2</v>
      </c>
      <c r="S5" s="603">
        <f>'15. SPA - EB'!D21</f>
        <v>-1.1281126537238784E-4</v>
      </c>
      <c r="T5" s="601"/>
      <c r="U5" s="371">
        <f>'16. OPI 60+'!D19</f>
        <v>133375</v>
      </c>
      <c r="V5" s="601">
        <f t="shared" si="5"/>
        <v>1.2790221759190356E-2</v>
      </c>
      <c r="W5" s="604">
        <f>'17. OPI 19-59'!D19</f>
        <v>0</v>
      </c>
      <c r="X5" s="601">
        <f t="shared" si="6"/>
        <v>0</v>
      </c>
      <c r="Y5" s="605">
        <v>155502</v>
      </c>
      <c r="Z5" s="606">
        <v>0.01</v>
      </c>
      <c r="AA5" s="607"/>
      <c r="AB5" s="606"/>
      <c r="AC5" s="605"/>
      <c r="AD5" s="371"/>
      <c r="AE5" s="371"/>
      <c r="AF5" s="371"/>
      <c r="AG5" s="596">
        <f t="shared" si="7"/>
        <v>1049742.0689071934</v>
      </c>
      <c r="AH5" s="430">
        <f t="shared" si="8"/>
        <v>2.6465096014873508E-3</v>
      </c>
      <c r="AI5" s="500">
        <v>181169</v>
      </c>
    </row>
    <row r="6" spans="1:35" s="431" customFormat="1" ht="15.75">
      <c r="A6" s="556">
        <f t="shared" si="0"/>
        <v>181170</v>
      </c>
      <c r="B6" s="560" t="s">
        <v>73</v>
      </c>
      <c r="C6" s="371">
        <f>'6. III B'!F26</f>
        <v>282002.95972131984</v>
      </c>
      <c r="D6" s="371">
        <f>'7. III C-1'!E22</f>
        <v>266893</v>
      </c>
      <c r="E6" s="371">
        <f>'8. III C-2'!E21</f>
        <v>174034</v>
      </c>
      <c r="F6" s="371">
        <f>'9. III D'!E21</f>
        <v>14877</v>
      </c>
      <c r="G6" s="371">
        <f>'10. III E'!E21</f>
        <v>122469.16608173591</v>
      </c>
      <c r="H6" s="371">
        <f>'11. VII B'!F21</f>
        <v>3104</v>
      </c>
      <c r="I6" s="429">
        <f t="shared" si="1"/>
        <v>863380.12580305571</v>
      </c>
      <c r="J6" s="601">
        <f t="shared" si="2"/>
        <v>2.264060649804181E-2</v>
      </c>
      <c r="K6" s="669">
        <f>'12. 21-23 Unspent'!I4</f>
        <v>0</v>
      </c>
      <c r="L6" s="371">
        <f>'21-23 Unspent-COVID'!J4</f>
        <v>41904</v>
      </c>
      <c r="M6" s="371">
        <f>'13. NSIP'!F21</f>
        <v>131809</v>
      </c>
      <c r="N6" s="601">
        <f t="shared" si="3"/>
        <v>3.8201853156074925E-2</v>
      </c>
      <c r="O6" s="371">
        <f>'NSIP-19-21 Unspent'!E25</f>
        <v>0</v>
      </c>
      <c r="P6" s="602">
        <v>2169</v>
      </c>
      <c r="Q6" s="371">
        <f>'14. SPA-Seq Mit.'!B20</f>
        <v>38818</v>
      </c>
      <c r="R6" s="601">
        <f t="shared" si="4"/>
        <v>1.8970005615059109E-2</v>
      </c>
      <c r="S6" s="603">
        <f>'15. SPA - EB'!D22</f>
        <v>-1.8578738442922519E-4</v>
      </c>
      <c r="T6" s="601"/>
      <c r="U6" s="371">
        <f>'16. OPI 60+'!D20</f>
        <v>257344</v>
      </c>
      <c r="V6" s="601">
        <f t="shared" si="5"/>
        <v>2.4678439200727893E-2</v>
      </c>
      <c r="W6" s="604">
        <f>'17. OPI 19-59'!D20</f>
        <v>0</v>
      </c>
      <c r="X6" s="601">
        <f t="shared" si="6"/>
        <v>0</v>
      </c>
      <c r="Y6" s="605">
        <v>300037</v>
      </c>
      <c r="Z6" s="606">
        <v>0.02</v>
      </c>
      <c r="AA6" s="607"/>
      <c r="AB6" s="606"/>
      <c r="AC6" s="605"/>
      <c r="AD6" s="371"/>
      <c r="AE6" s="371"/>
      <c r="AF6" s="371"/>
      <c r="AG6" s="596">
        <f t="shared" si="7"/>
        <v>1635461.1256172683</v>
      </c>
      <c r="AH6" s="430">
        <f t="shared" si="8"/>
        <v>4.1231686335208391E-3</v>
      </c>
      <c r="AI6" s="500">
        <v>181170</v>
      </c>
    </row>
    <row r="7" spans="1:35" s="431" customFormat="1" ht="15.75">
      <c r="A7" s="556">
        <f t="shared" si="0"/>
        <v>181171</v>
      </c>
      <c r="B7" s="560" t="s">
        <v>60</v>
      </c>
      <c r="C7" s="371">
        <f>'6. III B'!F27</f>
        <v>979950.08814698644</v>
      </c>
      <c r="D7" s="371">
        <f>'7. III C-1'!E23</f>
        <v>1384250</v>
      </c>
      <c r="E7" s="371">
        <f>'8. III C-2'!E22</f>
        <v>939025</v>
      </c>
      <c r="F7" s="371">
        <f>'9. III D'!E22</f>
        <v>59109</v>
      </c>
      <c r="G7" s="371">
        <f>'10. III E'!E22</f>
        <v>460722.50885183667</v>
      </c>
      <c r="H7" s="371">
        <f>'11. VII B'!F22</f>
        <v>9572</v>
      </c>
      <c r="I7" s="429">
        <f t="shared" si="1"/>
        <v>3832628.5969988229</v>
      </c>
      <c r="J7" s="601">
        <f t="shared" si="2"/>
        <v>0.1005038607265626</v>
      </c>
      <c r="K7" s="669">
        <f>'12. 21-23 Unspent'!I5</f>
        <v>0</v>
      </c>
      <c r="L7" s="371">
        <f>'21-23 Unspent-COVID'!J5</f>
        <v>1503956.55</v>
      </c>
      <c r="M7" s="371">
        <f>'13. NSIP'!F22</f>
        <v>330889</v>
      </c>
      <c r="N7" s="601">
        <f t="shared" si="3"/>
        <v>9.5900681963754189E-2</v>
      </c>
      <c r="O7" s="371">
        <f>'NSIP-19-21 Unspent'!E26</f>
        <v>0</v>
      </c>
      <c r="P7" s="602">
        <v>7293</v>
      </c>
      <c r="Q7" s="371">
        <f>'14. SPA-Seq Mit.'!B21</f>
        <v>214495</v>
      </c>
      <c r="R7" s="601">
        <f t="shared" si="4"/>
        <v>0.10482176707718337</v>
      </c>
      <c r="S7" s="603">
        <f>'15. SPA - EB'!D23</f>
        <v>-8.7766529760989768E-4</v>
      </c>
      <c r="T7" s="601"/>
      <c r="U7" s="371">
        <f>'16. OPI 60+'!D21</f>
        <v>1048576</v>
      </c>
      <c r="V7" s="601">
        <f t="shared" si="5"/>
        <v>0.10055497335606213</v>
      </c>
      <c r="W7" s="604">
        <f>'17. OPI 19-59'!D21</f>
        <v>0</v>
      </c>
      <c r="X7" s="601">
        <f t="shared" si="6"/>
        <v>0</v>
      </c>
      <c r="Y7" s="605">
        <v>1222537</v>
      </c>
      <c r="Z7" s="606">
        <v>0.1</v>
      </c>
      <c r="AA7" s="607"/>
      <c r="AB7" s="606"/>
      <c r="AC7" s="605"/>
      <c r="AD7" s="371"/>
      <c r="AE7" s="371"/>
      <c r="AF7" s="608"/>
      <c r="AG7" s="596">
        <f t="shared" si="7"/>
        <v>8160375.1461211573</v>
      </c>
      <c r="AH7" s="430">
        <f t="shared" si="8"/>
        <v>2.0573159650952043E-2</v>
      </c>
      <c r="AI7" s="500">
        <v>181171</v>
      </c>
    </row>
    <row r="8" spans="1:35" s="431" customFormat="1" ht="15.75">
      <c r="A8" s="556">
        <f t="shared" si="0"/>
        <v>181172</v>
      </c>
      <c r="B8" s="560" t="s">
        <v>541</v>
      </c>
      <c r="C8" s="371">
        <f>'6. III B'!F28</f>
        <v>625715.24550054094</v>
      </c>
      <c r="D8" s="371">
        <f>'7. III C-1'!E24</f>
        <v>814502</v>
      </c>
      <c r="E8" s="371">
        <f>'8. III C-2'!E23</f>
        <v>548951</v>
      </c>
      <c r="F8" s="371">
        <f>'9. III D'!E23</f>
        <v>39981</v>
      </c>
      <c r="G8" s="371">
        <f>'10. III E'!E23</f>
        <v>303545.6852414778</v>
      </c>
      <c r="H8" s="371">
        <f>'11. VII B'!F23</f>
        <v>6289</v>
      </c>
      <c r="I8" s="429">
        <f t="shared" si="1"/>
        <v>2338983.9307420189</v>
      </c>
      <c r="J8" s="601">
        <f t="shared" si="2"/>
        <v>6.1335688879700756E-2</v>
      </c>
      <c r="K8" s="669">
        <f>'12. 21-23 Unspent'!I6</f>
        <v>0</v>
      </c>
      <c r="L8" s="371">
        <f>'21-23 Unspent-COVID'!J6</f>
        <v>4171</v>
      </c>
      <c r="M8" s="371">
        <f>'13. NSIP'!F23</f>
        <v>154791</v>
      </c>
      <c r="N8" s="601">
        <f t="shared" si="3"/>
        <v>4.486266531027467E-2</v>
      </c>
      <c r="O8" s="371">
        <f>'NSIP-19-21 Unspent'!E27</f>
        <v>0</v>
      </c>
      <c r="P8" s="602">
        <v>4084</v>
      </c>
      <c r="Q8" s="371">
        <f>'14. SPA-Seq Mit.'!B22</f>
        <v>124916</v>
      </c>
      <c r="R8" s="601">
        <f t="shared" si="4"/>
        <v>6.1045319733389759E-2</v>
      </c>
      <c r="S8" s="603">
        <f>'15. SPA - EB'!D24</f>
        <v>-5.7846103673700499E-4</v>
      </c>
      <c r="T8" s="601"/>
      <c r="U8" s="371">
        <f>'16. OPI 60+'!D22</f>
        <v>646995</v>
      </c>
      <c r="V8" s="601">
        <f t="shared" si="5"/>
        <v>6.2044682489877143E-2</v>
      </c>
      <c r="W8" s="604">
        <f>'17. OPI 19-59'!D22</f>
        <v>0</v>
      </c>
      <c r="X8" s="601">
        <f t="shared" si="6"/>
        <v>0</v>
      </c>
      <c r="Y8" s="605">
        <v>754333</v>
      </c>
      <c r="Z8" s="606">
        <v>0.06</v>
      </c>
      <c r="AA8" s="607"/>
      <c r="AB8" s="606"/>
      <c r="AC8" s="605"/>
      <c r="AD8" s="371"/>
      <c r="AE8" s="371"/>
      <c r="AF8" s="371"/>
      <c r="AG8" s="596">
        <f t="shared" si="7"/>
        <v>4028273.9301635576</v>
      </c>
      <c r="AH8" s="430">
        <f t="shared" si="8"/>
        <v>1.0155700099451343E-2</v>
      </c>
      <c r="AI8" s="500">
        <v>181172</v>
      </c>
    </row>
    <row r="9" spans="1:35" s="431" customFormat="1" ht="15.75">
      <c r="A9" s="556">
        <f t="shared" si="0"/>
        <v>181146</v>
      </c>
      <c r="B9" s="560" t="s">
        <v>169</v>
      </c>
      <c r="C9" s="371">
        <f>'6. III B'!F29</f>
        <v>413411.34889112203</v>
      </c>
      <c r="D9" s="371">
        <f>'7. III C-1'!E25</f>
        <v>517870</v>
      </c>
      <c r="E9" s="371">
        <f>'8. III C-2'!E24</f>
        <v>345864</v>
      </c>
      <c r="F9" s="371">
        <f>'9. III D'!E24</f>
        <v>28656</v>
      </c>
      <c r="G9" s="371">
        <f>'10. III E'!E24</f>
        <v>198251.04859319286</v>
      </c>
      <c r="H9" s="371">
        <f>'11. VII B'!F24</f>
        <v>4321</v>
      </c>
      <c r="I9" s="429">
        <f t="shared" si="1"/>
        <v>1508373.3974843149</v>
      </c>
      <c r="J9" s="601">
        <f t="shared" si="2"/>
        <v>3.9554406597896129E-2</v>
      </c>
      <c r="K9" s="669">
        <f>'12. 21-23 Unspent'!I7</f>
        <v>0</v>
      </c>
      <c r="L9" s="371">
        <f>'21-23 Unspent-COVID'!J7</f>
        <v>27320</v>
      </c>
      <c r="M9" s="371">
        <f>'13. NSIP'!F24</f>
        <v>97054</v>
      </c>
      <c r="N9" s="601">
        <f t="shared" si="3"/>
        <v>2.8128903612118263E-2</v>
      </c>
      <c r="O9" s="371">
        <f>'NSIP-19-21 Unspent'!E28</f>
        <v>0</v>
      </c>
      <c r="P9" s="602">
        <v>3572</v>
      </c>
      <c r="Q9" s="371">
        <f>'14. SPA-Seq Mit.'!B23</f>
        <v>78278</v>
      </c>
      <c r="R9" s="601">
        <f t="shared" si="4"/>
        <v>3.8253750825276857E-2</v>
      </c>
      <c r="S9" s="603">
        <f>'15. SPA - EB'!D25</f>
        <v>-4.0132440898643738E-4</v>
      </c>
      <c r="T9" s="601"/>
      <c r="U9" s="371">
        <f>'16. OPI 60+'!D23</f>
        <v>406315</v>
      </c>
      <c r="V9" s="601">
        <f t="shared" si="5"/>
        <v>3.8964265822571169E-2</v>
      </c>
      <c r="W9" s="604">
        <f>'17. OPI 19-59'!D23</f>
        <v>0</v>
      </c>
      <c r="X9" s="601">
        <f t="shared" si="6"/>
        <v>0</v>
      </c>
      <c r="Y9" s="605">
        <v>473724</v>
      </c>
      <c r="Z9" s="606">
        <v>0.04</v>
      </c>
      <c r="AA9" s="607"/>
      <c r="AB9" s="606"/>
      <c r="AC9" s="605"/>
      <c r="AD9" s="371"/>
      <c r="AE9" s="609">
        <v>242140</v>
      </c>
      <c r="AF9" s="608"/>
      <c r="AG9" s="596">
        <f t="shared" si="7"/>
        <v>2836776.3970829905</v>
      </c>
      <c r="AH9" s="430">
        <f t="shared" si="8"/>
        <v>7.151810139388216E-3</v>
      </c>
      <c r="AI9" s="500">
        <v>181146</v>
      </c>
    </row>
    <row r="10" spans="1:35" s="431" customFormat="1" ht="15.75">
      <c r="A10" s="556">
        <f t="shared" si="0"/>
        <v>181174</v>
      </c>
      <c r="B10" s="560" t="s">
        <v>74</v>
      </c>
      <c r="C10" s="371">
        <f>'6. III B'!F30</f>
        <v>124081.75569558713</v>
      </c>
      <c r="D10" s="371">
        <f>'7. III C-1'!E26</f>
        <v>50575</v>
      </c>
      <c r="E10" s="371">
        <f>'8. III C-2'!E25</f>
        <v>25933</v>
      </c>
      <c r="F10" s="371">
        <f>'9. III D'!E25</f>
        <v>4492</v>
      </c>
      <c r="G10" s="371">
        <f>'10. III E'!E25</f>
        <v>37129.738964851174</v>
      </c>
      <c r="H10" s="371">
        <f>'11. VII B'!F25</f>
        <v>1640</v>
      </c>
      <c r="I10" s="429">
        <f t="shared" si="1"/>
        <v>243851.49466043833</v>
      </c>
      <c r="J10" s="601">
        <f t="shared" si="2"/>
        <v>6.3945712549627323E-3</v>
      </c>
      <c r="K10" s="669">
        <f>'12. 21-23 Unspent'!I8</f>
        <v>0</v>
      </c>
      <c r="L10" s="371">
        <f>'21-23 Unspent-COVID'!J8</f>
        <v>295</v>
      </c>
      <c r="M10" s="371">
        <f>'13. NSIP'!F25</f>
        <v>18583</v>
      </c>
      <c r="N10" s="601">
        <f t="shared" si="3"/>
        <v>5.3858616422197301E-3</v>
      </c>
      <c r="O10" s="371">
        <f>'NSIP-19-21 Unspent'!E29</f>
        <v>0</v>
      </c>
      <c r="P10" s="602">
        <v>2000</v>
      </c>
      <c r="Q10" s="371">
        <f>'14. SPA-Seq Mit.'!B24</f>
        <v>4807</v>
      </c>
      <c r="R10" s="601">
        <f t="shared" si="4"/>
        <v>2.3491374360242448E-3</v>
      </c>
      <c r="S10" s="603">
        <f>'15. SPA - EB'!D26</f>
        <v>-2.3337211402252251E-5</v>
      </c>
      <c r="T10" s="601"/>
      <c r="U10" s="371">
        <f>'16. OPI 60+'!D24</f>
        <v>78315</v>
      </c>
      <c r="V10" s="601">
        <f t="shared" si="5"/>
        <v>7.5101497062492421E-3</v>
      </c>
      <c r="W10" s="604">
        <f>'17. OPI 19-59'!D24</f>
        <v>0</v>
      </c>
      <c r="X10" s="601">
        <f t="shared" si="6"/>
        <v>0</v>
      </c>
      <c r="Y10" s="605">
        <v>91308</v>
      </c>
      <c r="Z10" s="606">
        <v>0.01</v>
      </c>
      <c r="AA10" s="607"/>
      <c r="AB10" s="606"/>
      <c r="AC10" s="605"/>
      <c r="AD10" s="371"/>
      <c r="AE10" s="371"/>
      <c r="AF10" s="371"/>
      <c r="AG10" s="596">
        <f t="shared" si="7"/>
        <v>439159.49463710113</v>
      </c>
      <c r="AH10" s="430">
        <f t="shared" si="8"/>
        <v>1.107167039948528E-3</v>
      </c>
      <c r="AI10" s="500">
        <v>181174</v>
      </c>
    </row>
    <row r="11" spans="1:35" s="431" customFormat="1" ht="15.75">
      <c r="A11" s="556">
        <f t="shared" si="0"/>
        <v>181177</v>
      </c>
      <c r="B11" s="560" t="s">
        <v>71</v>
      </c>
      <c r="C11" s="371">
        <f>'6. III B'!F31</f>
        <v>320277.855132194</v>
      </c>
      <c r="D11" s="371">
        <f>'7. III C-1'!E27</f>
        <v>314619</v>
      </c>
      <c r="E11" s="371">
        <f>'8. III C-2'!E26</f>
        <v>206709</v>
      </c>
      <c r="F11" s="371">
        <f>'9. III D'!E26</f>
        <v>18243</v>
      </c>
      <c r="G11" s="371">
        <f>'10. III E'!E26</f>
        <v>145116.65753109707</v>
      </c>
      <c r="H11" s="371">
        <f>'11. VII B'!F26</f>
        <v>3458</v>
      </c>
      <c r="I11" s="429">
        <f t="shared" si="1"/>
        <v>1008423.5126632911</v>
      </c>
      <c r="J11" s="601">
        <f t="shared" si="2"/>
        <v>2.6444111059826123E-2</v>
      </c>
      <c r="K11" s="669">
        <f>'12. 21-23 Unspent'!I9</f>
        <v>0</v>
      </c>
      <c r="L11" s="371">
        <f>'21-23 Unspent-COVID'!J9</f>
        <v>238478</v>
      </c>
      <c r="M11" s="371">
        <f>'13. NSIP'!F26</f>
        <v>131292</v>
      </c>
      <c r="N11" s="601">
        <f t="shared" si="3"/>
        <v>3.8052012416203665E-2</v>
      </c>
      <c r="O11" s="371">
        <f>'NSIP-19-21 Unspent'!E30</f>
        <v>0</v>
      </c>
      <c r="P11" s="602">
        <v>2383</v>
      </c>
      <c r="Q11" s="371">
        <f>'14. SPA-Seq Mit.'!B25</f>
        <v>46322</v>
      </c>
      <c r="R11" s="601">
        <f t="shared" si="4"/>
        <v>2.2637142565324543E-2</v>
      </c>
      <c r="S11" s="603">
        <f>'15. SPA - EB'!D27</f>
        <v>-2.3844056270752467E-4</v>
      </c>
      <c r="T11" s="601"/>
      <c r="U11" s="371">
        <f>'16. OPI 60+'!D25</f>
        <v>300734</v>
      </c>
      <c r="V11" s="601">
        <f t="shared" si="5"/>
        <v>2.8839396817457189E-2</v>
      </c>
      <c r="W11" s="604">
        <f>'17. OPI 19-59'!D25</f>
        <v>0</v>
      </c>
      <c r="X11" s="601">
        <f t="shared" si="6"/>
        <v>0</v>
      </c>
      <c r="Y11" s="605">
        <v>350626</v>
      </c>
      <c r="Z11" s="606">
        <v>0.03</v>
      </c>
      <c r="AA11" s="607"/>
      <c r="AB11" s="606"/>
      <c r="AC11" s="605"/>
      <c r="AD11" s="371"/>
      <c r="AE11" s="371"/>
      <c r="AF11" s="371"/>
      <c r="AG11" s="596">
        <f t="shared" si="7"/>
        <v>2078258.5124248506</v>
      </c>
      <c r="AH11" s="430">
        <f t="shared" si="8"/>
        <v>5.2395071803028282E-3</v>
      </c>
      <c r="AI11" s="500">
        <v>181177</v>
      </c>
    </row>
    <row r="12" spans="1:35" s="431" customFormat="1" ht="15.75">
      <c r="A12" s="556">
        <f t="shared" si="0"/>
        <v>181149</v>
      </c>
      <c r="B12" s="560" t="s">
        <v>65</v>
      </c>
      <c r="C12" s="371">
        <f>'6. III B'!F32</f>
        <v>924150.56189554289</v>
      </c>
      <c r="D12" s="371">
        <f>'7. III C-1'!E28</f>
        <v>1281998</v>
      </c>
      <c r="E12" s="371">
        <f>'8. III C-2'!E27</f>
        <v>869019</v>
      </c>
      <c r="F12" s="371">
        <f>'9. III D'!E27</f>
        <v>61913</v>
      </c>
      <c r="G12" s="371">
        <f>'10. III E'!E27</f>
        <v>465071.86635217356</v>
      </c>
      <c r="H12" s="371">
        <f>'11. VII B'!F27</f>
        <v>9054</v>
      </c>
      <c r="I12" s="429">
        <f t="shared" si="1"/>
        <v>3611206.4282477163</v>
      </c>
      <c r="J12" s="601">
        <f t="shared" si="2"/>
        <v>9.4697458606784884E-2</v>
      </c>
      <c r="K12" s="669">
        <f>'12. 21-23 Unspent'!I10</f>
        <v>0</v>
      </c>
      <c r="L12" s="371">
        <f>'21-23 Unspent-COVID'!J10</f>
        <v>66378</v>
      </c>
      <c r="M12" s="371">
        <f>'13. NSIP'!F27</f>
        <v>273046</v>
      </c>
      <c r="N12" s="601">
        <f t="shared" si="3"/>
        <v>7.9136198566513924E-2</v>
      </c>
      <c r="O12" s="371">
        <f>'NSIP-19-21 Unspent'!E31</f>
        <v>0</v>
      </c>
      <c r="P12" s="602">
        <v>8348</v>
      </c>
      <c r="Q12" s="371">
        <f>'14. SPA-Seq Mit.'!B26</f>
        <v>198418</v>
      </c>
      <c r="R12" s="601">
        <f t="shared" si="4"/>
        <v>9.6965082542346287E-2</v>
      </c>
      <c r="S12" s="603">
        <f>'15. SPA - EB'!D28</f>
        <v>-9.2153893124952298E-4</v>
      </c>
      <c r="T12" s="601"/>
      <c r="U12" s="371">
        <f>'16. OPI 60+'!D26</f>
        <v>985318</v>
      </c>
      <c r="V12" s="601">
        <f t="shared" si="5"/>
        <v>9.4488740193603926E-2</v>
      </c>
      <c r="W12" s="604">
        <f>'17. OPI 19-59'!D26</f>
        <v>411140.4515212549</v>
      </c>
      <c r="X12" s="601">
        <f t="shared" si="6"/>
        <v>0.13911263987590888</v>
      </c>
      <c r="Y12" s="605">
        <v>1148784</v>
      </c>
      <c r="Z12" s="606">
        <v>0.09</v>
      </c>
      <c r="AA12" s="607">
        <v>970726</v>
      </c>
      <c r="AB12" s="606">
        <v>0.2</v>
      </c>
      <c r="AC12" s="607">
        <v>112533.2</v>
      </c>
      <c r="AD12" s="609">
        <v>10633914</v>
      </c>
      <c r="AE12" s="609">
        <v>46394534</v>
      </c>
      <c r="AF12" s="610">
        <v>1749714</v>
      </c>
      <c r="AG12" s="596">
        <f>SUM(I12,K12,L12,M12,O12,P12,Q12,S12,U12,W12,Y12,AA12,AC12,AD12,AE12,AF12)</f>
        <v>66564060.078847431</v>
      </c>
      <c r="AH12" s="430">
        <f t="shared" si="8"/>
        <v>0.16781496077035371</v>
      </c>
      <c r="AI12" s="500">
        <v>181149</v>
      </c>
    </row>
    <row r="13" spans="1:35" s="431" customFormat="1" ht="15.75">
      <c r="A13" s="556">
        <f t="shared" si="0"/>
        <v>181147</v>
      </c>
      <c r="B13" s="560" t="s">
        <v>221</v>
      </c>
      <c r="C13" s="371">
        <f>'6. III B'!F33</f>
        <v>1369535.2033690838</v>
      </c>
      <c r="D13" s="371">
        <f>'7. III C-1'!E29</f>
        <v>1974758</v>
      </c>
      <c r="E13" s="371">
        <f>'8. III C-2'!E28</f>
        <v>1343314</v>
      </c>
      <c r="F13" s="371">
        <f>'9. III D'!E28</f>
        <v>103894</v>
      </c>
      <c r="G13" s="371">
        <f>'10. III E'!E28</f>
        <v>701627.56456937117</v>
      </c>
      <c r="H13" s="371">
        <f>'11. VII B'!F28</f>
        <v>13184</v>
      </c>
      <c r="I13" s="429">
        <f t="shared" si="1"/>
        <v>5506312.7679384546</v>
      </c>
      <c r="J13" s="601">
        <f t="shared" si="2"/>
        <v>0.14439324801237707</v>
      </c>
      <c r="K13" s="669">
        <f>'12. 21-23 Unspent'!I11</f>
        <v>0</v>
      </c>
      <c r="L13" s="371">
        <f>'21-23 Unspent-COVID'!J11</f>
        <v>1562404.56</v>
      </c>
      <c r="M13" s="371">
        <f>'13. NSIP'!F28</f>
        <v>762409</v>
      </c>
      <c r="N13" s="601">
        <f t="shared" si="3"/>
        <v>0.22096697997003184</v>
      </c>
      <c r="O13" s="371">
        <f>'NSIP-19-21 Unspent'!E32</f>
        <v>0</v>
      </c>
      <c r="P13" s="602">
        <v>25000</v>
      </c>
      <c r="Q13" s="371">
        <f>'14. SPA-Seq Mit.'!B27</f>
        <v>307338</v>
      </c>
      <c r="R13" s="601">
        <f t="shared" si="4"/>
        <v>0.15019330170851247</v>
      </c>
      <c r="S13" s="603">
        <f>'15. SPA - EB'!D29</f>
        <v>-1.5782059508518543E-3</v>
      </c>
      <c r="T13" s="601"/>
      <c r="U13" s="371">
        <f>'16. OPI 60+'!D27</f>
        <v>1490229</v>
      </c>
      <c r="V13" s="601">
        <f t="shared" si="5"/>
        <v>0.14290803660338508</v>
      </c>
      <c r="W13" s="604">
        <f>'17. OPI 19-59'!D27</f>
        <v>604795.56944075646</v>
      </c>
      <c r="X13" s="601">
        <f t="shared" si="6"/>
        <v>0.20463738836412609</v>
      </c>
      <c r="Y13" s="605">
        <v>1737462</v>
      </c>
      <c r="Z13" s="606">
        <v>0.15</v>
      </c>
      <c r="AA13" s="607">
        <f>1924564-1</f>
        <v>1924563</v>
      </c>
      <c r="AB13" s="606">
        <v>0.41</v>
      </c>
      <c r="AC13" s="607">
        <v>112533.2</v>
      </c>
      <c r="AD13" s="609">
        <v>25880356</v>
      </c>
      <c r="AE13" s="609">
        <v>88197561</v>
      </c>
      <c r="AF13" s="610">
        <v>27287540</v>
      </c>
      <c r="AG13" s="596">
        <f>SUM(I13,K13,L13,M13,O13,P13,Q13,S13,U13,W13,Y13,AA13,AC13,AD13,AE13,AF13)</f>
        <v>155398504.095801</v>
      </c>
      <c r="AH13" s="430">
        <f t="shared" si="8"/>
        <v>0.39177588983781897</v>
      </c>
      <c r="AI13" s="500">
        <v>181147</v>
      </c>
    </row>
    <row r="14" spans="1:35" s="431" customFormat="1" ht="15.75">
      <c r="A14" s="556">
        <f t="shared" si="0"/>
        <v>181176</v>
      </c>
      <c r="B14" s="560" t="s">
        <v>75</v>
      </c>
      <c r="C14" s="371">
        <f>'6. III B'!F34</f>
        <v>171465.04976533778</v>
      </c>
      <c r="D14" s="371">
        <f>'7. III C-1'!E30</f>
        <v>122900</v>
      </c>
      <c r="E14" s="371">
        <f>'8. III C-2'!E29</f>
        <v>75450</v>
      </c>
      <c r="F14" s="371">
        <f>'9. III D'!E29</f>
        <v>8825</v>
      </c>
      <c r="G14" s="371">
        <f>'10. III E'!E29</f>
        <v>64193.528147289173</v>
      </c>
      <c r="H14" s="371">
        <f>'11. VII B'!F29</f>
        <v>2079</v>
      </c>
      <c r="I14" s="429">
        <f t="shared" si="1"/>
        <v>444912.57791262696</v>
      </c>
      <c r="J14" s="601">
        <f t="shared" si="2"/>
        <v>1.1667040161689929E-2</v>
      </c>
      <c r="K14" s="669">
        <f>'12. 21-23 Unspent'!I12</f>
        <v>0</v>
      </c>
      <c r="L14" s="371">
        <f>'21-23 Unspent-COVID'!J12</f>
        <v>8719</v>
      </c>
      <c r="M14" s="371">
        <f>'13. NSIP'!F29</f>
        <v>23927</v>
      </c>
      <c r="N14" s="601">
        <f t="shared" si="3"/>
        <v>6.9346989998058158E-3</v>
      </c>
      <c r="O14" s="371">
        <f>'NSIP-19-21 Unspent'!E33</f>
        <v>0</v>
      </c>
      <c r="P14" s="602">
        <v>2000</v>
      </c>
      <c r="Q14" s="371">
        <f>'14. SPA-Seq Mit.'!B28</f>
        <v>16179</v>
      </c>
      <c r="R14" s="601">
        <f t="shared" si="4"/>
        <v>7.906531012572552E-3</v>
      </c>
      <c r="S14" s="603">
        <f>'15. SPA - EB'!D30</f>
        <v>-9.1121846007663105E-5</v>
      </c>
      <c r="T14" s="601"/>
      <c r="U14" s="371">
        <f>'16. OPI 60+'!D28</f>
        <v>132032</v>
      </c>
      <c r="V14" s="601">
        <f t="shared" si="5"/>
        <v>1.2661432497165294E-2</v>
      </c>
      <c r="W14" s="604">
        <f>'17. OPI 19-59'!D28</f>
        <v>0</v>
      </c>
      <c r="X14" s="601">
        <f t="shared" si="6"/>
        <v>0</v>
      </c>
      <c r="Y14" s="605">
        <v>153936</v>
      </c>
      <c r="Z14" s="606">
        <v>0.01</v>
      </c>
      <c r="AA14" s="607"/>
      <c r="AB14" s="606"/>
      <c r="AC14" s="605"/>
      <c r="AD14" s="371"/>
      <c r="AE14" s="371"/>
      <c r="AF14" s="371"/>
      <c r="AG14" s="596">
        <f>SUM(I14,K14,L14,M14,O14,P14,Q14,S14,U14,W14,Y14,AA14,AD14,AE14,AF14)</f>
        <v>781705.57782150514</v>
      </c>
      <c r="AH14" s="430">
        <f t="shared" si="8"/>
        <v>1.9707615599272804E-3</v>
      </c>
      <c r="AI14" s="500">
        <v>181176</v>
      </c>
    </row>
    <row r="15" spans="1:35" s="431" customFormat="1" ht="15.75">
      <c r="A15" s="556">
        <f t="shared" si="0"/>
        <v>181150</v>
      </c>
      <c r="B15" s="560" t="s">
        <v>59</v>
      </c>
      <c r="C15" s="371">
        <f>'6. III B'!F35</f>
        <v>1284460.9467644186</v>
      </c>
      <c r="D15" s="371">
        <f>'7. III C-1'!E31</f>
        <v>1818511</v>
      </c>
      <c r="E15" s="371">
        <f>'8. III C-2'!E30</f>
        <v>1236339</v>
      </c>
      <c r="F15" s="371">
        <f>'9. III D'!E30</f>
        <v>94551</v>
      </c>
      <c r="G15" s="371">
        <f>'10. III E'!E30</f>
        <v>665793.95784470357</v>
      </c>
      <c r="H15" s="371">
        <f>'11. VII B'!F30</f>
        <v>12393</v>
      </c>
      <c r="I15" s="429">
        <f t="shared" si="1"/>
        <v>5112048.9046091223</v>
      </c>
      <c r="J15" s="601">
        <f t="shared" si="2"/>
        <v>0.1340543802074986</v>
      </c>
      <c r="K15" s="669">
        <f>'12. 21-23 Unspent'!I13</f>
        <v>0</v>
      </c>
      <c r="L15" s="371">
        <f>'21-23 Unspent-COVID'!J13</f>
        <v>93941</v>
      </c>
      <c r="M15" s="371">
        <f>'13. NSIP'!F30</f>
        <v>385763</v>
      </c>
      <c r="N15" s="601">
        <f t="shared" si="3"/>
        <v>0.11180466795929665</v>
      </c>
      <c r="O15" s="371">
        <f>'NSIP-19-21 Unspent'!E34</f>
        <v>0</v>
      </c>
      <c r="P15" s="602">
        <v>12666</v>
      </c>
      <c r="Q15" s="371">
        <f>'14. SPA-Seq Mit.'!B29</f>
        <v>282772</v>
      </c>
      <c r="R15" s="601">
        <f t="shared" si="4"/>
        <v>0.13818811962959179</v>
      </c>
      <c r="S15" s="603">
        <f>'15. SPA - EB'!D31</f>
        <v>-1.4320565634713734E-3</v>
      </c>
      <c r="T15" s="601"/>
      <c r="U15" s="371">
        <f>'16. OPI 60+'!D29</f>
        <v>1393787</v>
      </c>
      <c r="V15" s="601">
        <f t="shared" si="5"/>
        <v>0.13365956749823166</v>
      </c>
      <c r="W15" s="604">
        <f>'17. OPI 19-59'!D29</f>
        <v>576647.48694116494</v>
      </c>
      <c r="X15" s="601">
        <f t="shared" si="6"/>
        <v>0.19511326090482498</v>
      </c>
      <c r="Y15" s="605">
        <v>1625019</v>
      </c>
      <c r="Z15" s="606">
        <v>0.14000000000000001</v>
      </c>
      <c r="AA15" s="607">
        <v>1299284</v>
      </c>
      <c r="AB15" s="606">
        <v>0.27</v>
      </c>
      <c r="AC15" s="607">
        <v>225066.4</v>
      </c>
      <c r="AD15" s="609">
        <v>14814352</v>
      </c>
      <c r="AE15" s="609">
        <v>62065927</v>
      </c>
      <c r="AF15" s="610">
        <v>2899415</v>
      </c>
      <c r="AG15" s="596">
        <f>SUM(I15,K15,L15,M15,O15,P15,Q15,S15,U15,W15,Y15,AA15,AC15,AD15,AE15,AF15)</f>
        <v>90786688.790118232</v>
      </c>
      <c r="AH15" s="430">
        <f t="shared" si="8"/>
        <v>0.22888274242492401</v>
      </c>
      <c r="AI15" s="500">
        <v>181150</v>
      </c>
    </row>
    <row r="16" spans="1:35" s="431" customFormat="1" ht="15.75">
      <c r="A16" s="556">
        <f t="shared" si="0"/>
        <v>181151</v>
      </c>
      <c r="B16" s="560" t="s">
        <v>64</v>
      </c>
      <c r="C16" s="371">
        <f>'6. III B'!F36</f>
        <v>680812.19190218719</v>
      </c>
      <c r="D16" s="371">
        <f>'7. III C-1'!E32</f>
        <v>923910</v>
      </c>
      <c r="E16" s="371">
        <f>'8. III C-2'!E31</f>
        <v>623856</v>
      </c>
      <c r="F16" s="371">
        <f>'9. III D'!E31</f>
        <v>46805</v>
      </c>
      <c r="G16" s="371">
        <f>'10. III E'!E31</f>
        <v>339259.94377165841</v>
      </c>
      <c r="H16" s="371">
        <f>'11. VII B'!F31</f>
        <v>6799</v>
      </c>
      <c r="I16" s="429">
        <f t="shared" si="1"/>
        <v>2621442.1356738457</v>
      </c>
      <c r="J16" s="601">
        <f t="shared" si="2"/>
        <v>6.8742652369920706E-2</v>
      </c>
      <c r="K16" s="669">
        <f>'12. 21-23 Unspent'!I14</f>
        <v>0</v>
      </c>
      <c r="L16" s="371">
        <f>'21-23 Unspent-COVID'!J14</f>
        <v>1054018.52</v>
      </c>
      <c r="M16" s="600">
        <f>'13. NSIP'!F31</f>
        <v>222239</v>
      </c>
      <c r="N16" s="601">
        <f t="shared" si="3"/>
        <v>6.4410940402802055E-2</v>
      </c>
      <c r="O16" s="371">
        <f>'NSIP-19-21 Unspent'!E35</f>
        <v>0</v>
      </c>
      <c r="P16" s="602">
        <v>6112</v>
      </c>
      <c r="Q16" s="371">
        <f>'14. SPA-Seq Mit.'!B30</f>
        <v>142118</v>
      </c>
      <c r="R16" s="601">
        <f t="shared" si="4"/>
        <v>6.9451781596191725E-2</v>
      </c>
      <c r="S16" s="603">
        <f>'15. SPA - EB'!D32</f>
        <v>-6.852085819094002E-4</v>
      </c>
      <c r="T16" s="601"/>
      <c r="U16" s="371">
        <f>'16. OPI 60+'!D30</f>
        <v>709456</v>
      </c>
      <c r="V16" s="601">
        <f t="shared" si="5"/>
        <v>6.8034485986040505E-2</v>
      </c>
      <c r="W16" s="604">
        <f>'17. OPI 19-59'!D30</f>
        <v>297793.16379092401</v>
      </c>
      <c r="X16" s="601">
        <f t="shared" si="6"/>
        <v>0.10076068408903011</v>
      </c>
      <c r="Y16" s="605">
        <v>827156</v>
      </c>
      <c r="Z16" s="606">
        <v>7.0000000000000007E-2</v>
      </c>
      <c r="AA16" s="607">
        <v>565427</v>
      </c>
      <c r="AB16" s="606">
        <v>0.12</v>
      </c>
      <c r="AC16" s="607">
        <v>112533.2</v>
      </c>
      <c r="AD16" s="609">
        <v>6697253</v>
      </c>
      <c r="AE16" s="609">
        <v>26361522</v>
      </c>
      <c r="AF16" s="610">
        <v>900000</v>
      </c>
      <c r="AG16" s="596">
        <f>SUM(I16,K16,L16,M16,O16,P16,Q16,S16,U16,W16,Y16,AA16,AC16,AD16,AE16,AF16)</f>
        <v>40517070.018779561</v>
      </c>
      <c r="AH16" s="430">
        <f t="shared" si="8"/>
        <v>0.10214777325296981</v>
      </c>
      <c r="AI16" s="500">
        <v>181151</v>
      </c>
    </row>
    <row r="17" spans="1:35" s="431" customFormat="1" ht="15.75">
      <c r="A17" s="556">
        <f t="shared" si="0"/>
        <v>181145</v>
      </c>
      <c r="B17" s="560" t="s">
        <v>68</v>
      </c>
      <c r="C17" s="371">
        <f>'6. III B'!F37</f>
        <v>910547.02278119815</v>
      </c>
      <c r="D17" s="371">
        <f>'7. III C-1'!E33</f>
        <v>1262665</v>
      </c>
      <c r="E17" s="371">
        <f>'8. III C-2'!E32</f>
        <v>855783</v>
      </c>
      <c r="F17" s="371">
        <f>'9. III D'!E32</f>
        <v>67869</v>
      </c>
      <c r="G17" s="371">
        <f>'10. III E'!E32</f>
        <v>472086.9707954941</v>
      </c>
      <c r="H17" s="371">
        <f>'11. VII B'!F32</f>
        <v>8928</v>
      </c>
      <c r="I17" s="429">
        <f t="shared" si="1"/>
        <v>3577878.993576692</v>
      </c>
      <c r="J17" s="601">
        <f t="shared" si="2"/>
        <v>9.3823505974073976E-2</v>
      </c>
      <c r="K17" s="669">
        <f>'12. 21-23 Unspent'!I15</f>
        <v>0</v>
      </c>
      <c r="L17" s="371">
        <f>'21-23 Unspent-COVID'!J15</f>
        <v>829691</v>
      </c>
      <c r="M17" s="600">
        <f>'13. NSIP'!F32</f>
        <v>288190</v>
      </c>
      <c r="N17" s="601">
        <f t="shared" si="3"/>
        <v>8.3525343952607425E-2</v>
      </c>
      <c r="O17" s="371">
        <f>'NSIP-19-21 Unspent'!E36</f>
        <v>0</v>
      </c>
      <c r="P17" s="602">
        <v>8452</v>
      </c>
      <c r="Q17" s="371">
        <f>'14. SPA-Seq Mit.'!B31</f>
        <v>195379</v>
      </c>
      <c r="R17" s="601">
        <f t="shared" si="4"/>
        <v>9.5479950720403772E-2</v>
      </c>
      <c r="S17" s="603">
        <f>'15. SPA - EB'!D33</f>
        <v>-1.0147008003468854E-3</v>
      </c>
      <c r="T17" s="601"/>
      <c r="U17" s="371">
        <f>'16. OPI 60+'!D31</f>
        <v>969897</v>
      </c>
      <c r="V17" s="601">
        <f t="shared" si="5"/>
        <v>9.3009917252659405E-2</v>
      </c>
      <c r="W17" s="604">
        <f>'17. OPI 19-59'!D31</f>
        <v>404550.78911115165</v>
      </c>
      <c r="X17" s="601">
        <f t="shared" si="6"/>
        <v>0.13688297521905349</v>
      </c>
      <c r="Y17" s="605">
        <v>1130805</v>
      </c>
      <c r="Z17" s="606">
        <v>0.09</v>
      </c>
      <c r="AA17" s="607"/>
      <c r="AB17" s="606"/>
      <c r="AC17" s="605"/>
      <c r="AD17" s="371"/>
      <c r="AE17" s="609">
        <v>242140</v>
      </c>
      <c r="AF17" s="610"/>
      <c r="AG17" s="596">
        <f>SUM(I17,K17,L17,M17,O17,P17,Q17,S17,U17,W17,Y17,AA17,AD17,AE17,AF17)</f>
        <v>7646983.7816731427</v>
      </c>
      <c r="AH17" s="430">
        <f t="shared" si="8"/>
        <v>1.9278846299533442E-2</v>
      </c>
      <c r="AI17" s="500">
        <v>181145</v>
      </c>
    </row>
    <row r="18" spans="1:35" s="431" customFormat="1" ht="15.75">
      <c r="A18" s="556">
        <f t="shared" si="0"/>
        <v>181178</v>
      </c>
      <c r="B18" s="560" t="s">
        <v>67</v>
      </c>
      <c r="C18" s="371">
        <f>'6. III B'!F38</f>
        <v>343514.05505840515</v>
      </c>
      <c r="D18" s="371">
        <f>'7. III C-1'!E34</f>
        <v>426701</v>
      </c>
      <c r="E18" s="371">
        <f>'8. III C-2'!E33</f>
        <v>283445</v>
      </c>
      <c r="F18" s="371">
        <f>'9. III D'!E33</f>
        <v>24119</v>
      </c>
      <c r="G18" s="371">
        <f>'10. III E'!E33</f>
        <v>159896.59383184739</v>
      </c>
      <c r="H18" s="371">
        <f>'11. VII B'!F33</f>
        <v>3674</v>
      </c>
      <c r="I18" s="429">
        <f t="shared" si="1"/>
        <v>1241349.6488902527</v>
      </c>
      <c r="J18" s="601">
        <f t="shared" si="2"/>
        <v>3.2552184243140131E-2</v>
      </c>
      <c r="K18" s="669">
        <f>'12. 21-23 Unspent'!I16</f>
        <v>0</v>
      </c>
      <c r="L18" s="371">
        <f>'21-23 Unspent-COVID'!J16</f>
        <v>22009</v>
      </c>
      <c r="M18" s="600">
        <f>'13. NSIP'!F33</f>
        <v>174854</v>
      </c>
      <c r="N18" s="601">
        <f t="shared" si="3"/>
        <v>5.0677471430268989E-2</v>
      </c>
      <c r="O18" s="371">
        <f>'NSIP-19-21 Unspent'!E37</f>
        <v>0</v>
      </c>
      <c r="P18" s="602">
        <v>3550</v>
      </c>
      <c r="Q18" s="371">
        <f>'14. SPA-Seq Mit.'!B32</f>
        <v>63944</v>
      </c>
      <c r="R18" s="601">
        <f>SUM(Q18/$Q$20)</f>
        <v>3.1248854630566741E-2</v>
      </c>
      <c r="S18" s="603">
        <f>'15. SPA - EB'!D34</f>
        <v>-3.3034295742656198E-4</v>
      </c>
      <c r="T18" s="601"/>
      <c r="U18" s="371">
        <f>'16. OPI 60+'!D32</f>
        <v>327076</v>
      </c>
      <c r="V18" s="601">
        <f t="shared" si="5"/>
        <v>3.1365507569701558E-2</v>
      </c>
      <c r="W18" s="604">
        <f>'17. OPI 19-59'!D32</f>
        <v>0</v>
      </c>
      <c r="X18" s="601">
        <f t="shared" si="6"/>
        <v>0</v>
      </c>
      <c r="Y18" s="605">
        <v>381338</v>
      </c>
      <c r="Z18" s="606">
        <v>0.03</v>
      </c>
      <c r="AA18" s="607"/>
      <c r="AB18" s="606"/>
      <c r="AC18" s="605"/>
      <c r="AD18" s="371"/>
      <c r="AE18" s="371"/>
      <c r="AF18" s="371"/>
      <c r="AG18" s="596">
        <f>SUM(I18,K18,L18,M18,O18,P18,Q18,S18,U18,W18,Y18,AA18,AD18,AE18,AF18)</f>
        <v>2214120.6485599098</v>
      </c>
      <c r="AH18" s="430">
        <f t="shared" si="8"/>
        <v>5.5820298422118884E-3</v>
      </c>
      <c r="AI18" s="500">
        <v>181178</v>
      </c>
    </row>
    <row r="19" spans="1:35" s="49" customFormat="1" ht="16.5" thickBot="1">
      <c r="A19" s="583">
        <f t="shared" si="0"/>
        <v>181180</v>
      </c>
      <c r="B19" s="584" t="s">
        <v>63</v>
      </c>
      <c r="C19" s="585">
        <f>'6. III B'!F39</f>
        <v>1057827.9209744304</v>
      </c>
      <c r="D19" s="585">
        <f>'7. III C-1'!E35</f>
        <v>1508418</v>
      </c>
      <c r="E19" s="585">
        <f>'8. III C-2'!E34</f>
        <v>1024036</v>
      </c>
      <c r="F19" s="585">
        <f>'9. III D'!E34</f>
        <v>78009</v>
      </c>
      <c r="G19" s="585">
        <f>'10. III E'!E34</f>
        <v>528575.69525797758</v>
      </c>
      <c r="H19" s="585">
        <f>'11. VII B'!F34</f>
        <v>10293</v>
      </c>
      <c r="I19" s="586">
        <f t="shared" si="1"/>
        <v>4207159.6162324082</v>
      </c>
      <c r="J19" s="611">
        <f t="shared" si="2"/>
        <v>0.11032526983056647</v>
      </c>
      <c r="K19" s="670">
        <f>'12. 21-23 Unspent'!I17</f>
        <v>0</v>
      </c>
      <c r="L19" s="585">
        <f>'21-23 Unspent-COVID'!J17</f>
        <v>1612896.5</v>
      </c>
      <c r="M19" s="585">
        <f>'13. NSIP'!F34</f>
        <v>209973</v>
      </c>
      <c r="N19" s="611">
        <f t="shared" si="3"/>
        <v>6.0855918129570218E-2</v>
      </c>
      <c r="O19" s="585">
        <f>'NSIP-19-21 Unspent'!E38</f>
        <v>0</v>
      </c>
      <c r="P19" s="612">
        <v>7673</v>
      </c>
      <c r="Q19" s="585">
        <f>'14. SPA-Seq Mit.'!B33</f>
        <v>234017</v>
      </c>
      <c r="R19" s="611">
        <f>SUM(Q19/$Q$20)</f>
        <v>0.1143619919629885</v>
      </c>
      <c r="S19" s="613">
        <f>'15. SPA - EB'!D35</f>
        <v>-1.1733114352463999E-3</v>
      </c>
      <c r="T19" s="611"/>
      <c r="U19" s="585">
        <f>'16. OPI 60+'!D33</f>
        <v>1136863</v>
      </c>
      <c r="V19" s="611">
        <f t="shared" si="5"/>
        <v>0.10902140490960394</v>
      </c>
      <c r="W19" s="614">
        <f>'17. OPI 19-59'!D33</f>
        <v>462426.82712314406</v>
      </c>
      <c r="X19" s="611">
        <f t="shared" si="6"/>
        <v>0.1564657927297515</v>
      </c>
      <c r="Y19" s="615">
        <v>1325471</v>
      </c>
      <c r="Z19" s="616">
        <v>0.11</v>
      </c>
      <c r="AA19" s="585"/>
      <c r="AB19" s="616"/>
      <c r="AC19" s="615"/>
      <c r="AD19" s="585"/>
      <c r="AE19" s="585"/>
      <c r="AF19" s="617"/>
      <c r="AG19" s="597">
        <f>SUM(I19,K19,L19,M19,O19,P19,Q19,S19,U19,W19,Y19,AA19,AD19,AE19,AF19)</f>
        <v>9196479.9421822391</v>
      </c>
      <c r="AH19" s="587">
        <f t="shared" si="8"/>
        <v>2.3185288260580212E-2</v>
      </c>
      <c r="AI19" s="500">
        <v>181180</v>
      </c>
    </row>
    <row r="20" spans="1:35" s="49" customFormat="1" ht="16.5" customHeight="1" thickTop="1">
      <c r="A20" s="723"/>
      <c r="B20" s="806" t="s">
        <v>29</v>
      </c>
      <c r="C20" s="574">
        <f>'6. III B'!F40</f>
        <v>10078454.000000002</v>
      </c>
      <c r="D20" s="574">
        <f>'7. III C-1'!E36</f>
        <v>13334946</v>
      </c>
      <c r="E20" s="574">
        <f>'8. III C-2'!E35</f>
        <v>8990602</v>
      </c>
      <c r="F20" s="574">
        <f>'9. III D'!E35</f>
        <v>687294</v>
      </c>
      <c r="G20" s="574">
        <f>'10. III E'!E35</f>
        <v>4941605</v>
      </c>
      <c r="H20" s="574">
        <f>'11. VII B'!F35</f>
        <v>101242</v>
      </c>
      <c r="I20" s="575">
        <f>SUM(I4:I19)</f>
        <v>38134143.000000007</v>
      </c>
      <c r="J20" s="576">
        <f>SUM(J4:J19)</f>
        <v>0.99999999999999978</v>
      </c>
      <c r="K20" s="671">
        <f>SUM(K4:K19)</f>
        <v>0</v>
      </c>
      <c r="L20" s="574">
        <f>'21-23 Unspent-COVID'!J18</f>
        <v>7689048.8400000008</v>
      </c>
      <c r="M20" s="574">
        <f>'13. NSIP'!F35</f>
        <v>3450330</v>
      </c>
      <c r="N20" s="577">
        <f>SUM(N4:N19)</f>
        <v>1</v>
      </c>
      <c r="O20" s="574">
        <f>SUM(O4:O19)</f>
        <v>0</v>
      </c>
      <c r="P20" s="578">
        <f>SUM(P4:P19)</f>
        <v>101453</v>
      </c>
      <c r="Q20" s="574">
        <f>'14. SPA-Seq Mit.'!B34</f>
        <v>2046283</v>
      </c>
      <c r="R20" s="576">
        <f>SUM(R4:R19)</f>
        <v>0.99999999999999989</v>
      </c>
      <c r="S20" s="579">
        <f>SUM(S4:S19)</f>
        <v>-0.01</v>
      </c>
      <c r="T20" s="576">
        <f>SUM(T4:T19)</f>
        <v>0</v>
      </c>
      <c r="U20" s="574">
        <f>'16. OPI 60+'!D34</f>
        <v>10427888</v>
      </c>
      <c r="V20" s="576">
        <f t="shared" ref="V20:AH20" si="9">SUM(V4:V19)</f>
        <v>1</v>
      </c>
      <c r="W20" s="574">
        <f t="shared" si="9"/>
        <v>2955450</v>
      </c>
      <c r="X20" s="576">
        <f t="shared" si="9"/>
        <v>1</v>
      </c>
      <c r="Y20" s="574">
        <f t="shared" si="9"/>
        <v>12157895</v>
      </c>
      <c r="Z20" s="576">
        <f t="shared" si="9"/>
        <v>1</v>
      </c>
      <c r="AA20" s="574">
        <f t="shared" si="9"/>
        <v>4760000</v>
      </c>
      <c r="AB20" s="576">
        <f t="shared" si="9"/>
        <v>1</v>
      </c>
      <c r="AC20" s="580">
        <f>SUM(AC4:AC19)</f>
        <v>562666</v>
      </c>
      <c r="AD20" s="574">
        <f t="shared" si="9"/>
        <v>58025875</v>
      </c>
      <c r="AE20" s="574">
        <f t="shared" si="9"/>
        <v>223503824</v>
      </c>
      <c r="AF20" s="581">
        <f t="shared" si="9"/>
        <v>32836669</v>
      </c>
      <c r="AG20" s="598">
        <f t="shared" si="9"/>
        <v>396651524.82999998</v>
      </c>
      <c r="AH20" s="582">
        <f t="shared" si="9"/>
        <v>1</v>
      </c>
      <c r="AI20" s="501"/>
    </row>
    <row r="21" spans="1:35" s="49" customFormat="1" ht="19.149999999999999" customHeight="1">
      <c r="A21" s="805"/>
      <c r="B21" s="805"/>
      <c r="C21" s="373"/>
      <c r="D21" s="372"/>
      <c r="E21" s="373"/>
      <c r="F21" s="373"/>
      <c r="G21" s="432"/>
      <c r="H21" s="432"/>
      <c r="I21" s="432"/>
      <c r="J21" s="433"/>
      <c r="K21" s="434"/>
      <c r="L21" s="489"/>
      <c r="M21" s="373"/>
      <c r="O21" s="432"/>
      <c r="P21" s="372"/>
      <c r="Q21" s="372"/>
      <c r="R21" s="373"/>
      <c r="S21" s="372"/>
      <c r="T21" s="373"/>
      <c r="U21" s="372"/>
      <c r="V21" s="373"/>
      <c r="W21" s="372"/>
      <c r="X21" s="373"/>
      <c r="Y21" s="373"/>
      <c r="Z21" s="373"/>
      <c r="AA21" s="373"/>
      <c r="AB21" s="373"/>
      <c r="AC21" s="373"/>
      <c r="AD21" s="373"/>
      <c r="AE21" s="373"/>
      <c r="AG21" s="341"/>
    </row>
    <row r="22" spans="1:35" s="49" customFormat="1" ht="19.899999999999999" customHeight="1">
      <c r="B22" s="561"/>
      <c r="C22" s="435"/>
      <c r="D22" s="435"/>
      <c r="E22" s="435"/>
      <c r="F22" s="435"/>
      <c r="G22" s="877"/>
      <c r="H22" s="877"/>
      <c r="I22" s="436"/>
      <c r="J22" s="436"/>
      <c r="K22" s="437"/>
      <c r="L22" s="490"/>
      <c r="M22" s="377"/>
      <c r="N22" s="436"/>
      <c r="O22" s="436"/>
      <c r="P22" s="367"/>
      <c r="Q22" s="367"/>
      <c r="S22" s="367"/>
      <c r="U22" s="374"/>
      <c r="W22" s="367"/>
      <c r="AE22" s="377"/>
      <c r="AG22" s="342"/>
    </row>
    <row r="23" spans="1:35" s="367" customFormat="1" ht="18.75" customHeight="1">
      <c r="A23" s="438"/>
      <c r="B23" s="562"/>
      <c r="C23" s="439"/>
      <c r="D23" s="439"/>
      <c r="E23" s="439"/>
      <c r="F23" s="439"/>
      <c r="G23" s="375"/>
      <c r="H23" s="375"/>
      <c r="I23" s="375"/>
      <c r="J23" s="375"/>
      <c r="K23" s="440"/>
      <c r="L23" s="440"/>
      <c r="M23" s="375"/>
      <c r="N23" s="375"/>
      <c r="O23" s="375"/>
      <c r="P23" s="375"/>
      <c r="Q23" s="375"/>
      <c r="R23" s="375"/>
      <c r="S23" s="375"/>
      <c r="T23" s="375"/>
      <c r="U23" s="375"/>
      <c r="V23" s="375"/>
      <c r="W23" s="375"/>
      <c r="X23" s="375"/>
      <c r="Y23" s="375"/>
      <c r="Z23" s="375"/>
      <c r="AA23" s="375"/>
      <c r="AB23" s="375"/>
      <c r="AC23" s="375"/>
      <c r="AD23" s="375"/>
      <c r="AG23" s="343"/>
    </row>
    <row r="24" spans="1:35" s="367" customFormat="1">
      <c r="A24" s="542"/>
      <c r="B24" s="141"/>
      <c r="C24" s="141"/>
      <c r="D24" s="141"/>
      <c r="E24" s="141"/>
      <c r="F24" s="141"/>
      <c r="G24" s="141"/>
      <c r="H24" s="375"/>
      <c r="I24" s="443"/>
      <c r="J24" s="375"/>
      <c r="K24" s="440"/>
      <c r="L24" s="440"/>
      <c r="N24" s="141"/>
      <c r="O24" s="141"/>
      <c r="P24" s="141"/>
      <c r="Q24" s="141"/>
      <c r="R24" s="141"/>
      <c r="S24" s="141"/>
      <c r="T24" s="141"/>
      <c r="U24" s="141"/>
      <c r="V24" s="141"/>
      <c r="W24" s="141"/>
      <c r="X24" s="141"/>
      <c r="Y24" s="141"/>
      <c r="Z24" s="141"/>
      <c r="AA24" s="141"/>
      <c r="AB24" s="141"/>
      <c r="AC24" s="141"/>
      <c r="AD24" s="141"/>
      <c r="AG24" s="492"/>
    </row>
    <row r="25" spans="1:35" s="367" customFormat="1">
      <c r="A25" s="249"/>
      <c r="B25" s="332"/>
      <c r="C25" s="332"/>
      <c r="D25" s="332"/>
      <c r="E25" s="332"/>
      <c r="F25" s="332"/>
      <c r="G25" s="332"/>
      <c r="H25" s="332"/>
      <c r="I25" s="428"/>
      <c r="J25" s="141"/>
      <c r="K25" s="441"/>
      <c r="L25" s="441"/>
      <c r="M25" s="375"/>
      <c r="N25" s="141"/>
      <c r="O25" s="141"/>
      <c r="P25" s="375"/>
      <c r="Q25" s="332"/>
      <c r="R25" s="332"/>
      <c r="S25" s="332"/>
      <c r="T25" s="332"/>
      <c r="U25" s="141"/>
      <c r="V25" s="332"/>
      <c r="W25" s="332"/>
      <c r="X25" s="332"/>
      <c r="Y25" s="332"/>
      <c r="Z25" s="332"/>
      <c r="AA25" s="332"/>
      <c r="AB25" s="332"/>
      <c r="AC25" s="332"/>
      <c r="AD25" s="332"/>
      <c r="AE25" s="378"/>
      <c r="AF25" s="378"/>
      <c r="AG25" s="344"/>
    </row>
    <row r="26" spans="1:35" s="49" customFormat="1">
      <c r="B26" s="563"/>
      <c r="I26" s="537"/>
      <c r="K26" s="442"/>
      <c r="L26" s="343"/>
      <c r="M26" s="537"/>
      <c r="P26" s="367"/>
      <c r="Q26" s="367"/>
      <c r="R26" s="522"/>
      <c r="S26" s="375"/>
      <c r="T26" s="522"/>
      <c r="U26" s="443"/>
      <c r="V26" s="522"/>
      <c r="W26" s="443"/>
      <c r="AG26" s="492"/>
    </row>
    <row r="27" spans="1:35" s="49" customFormat="1">
      <c r="B27" s="563"/>
      <c r="K27" s="442"/>
      <c r="L27" s="343"/>
      <c r="P27" s="367"/>
      <c r="Q27" s="367"/>
      <c r="S27" s="367"/>
      <c r="U27" s="510"/>
      <c r="W27" s="510"/>
      <c r="AG27" s="343"/>
    </row>
    <row r="28" spans="1:35">
      <c r="AG28" s="492"/>
    </row>
  </sheetData>
  <sheetProtection algorithmName="SHA-512" hashValue="75Cga/1mdF0JhF1ODewoBaRerlUJGQw3EAZ/Zf6LdshhdQ/6vOEf/pTF2ABN0NHtJTjvAODdBzcfVt7OwUwweQ==" saltValue="FrYyoUbun9ipctKB8LC0ww==" spinCount="100000" sheet="1" objects="1" scenarios="1"/>
  <mergeCells count="1">
    <mergeCell ref="G22:H22"/>
  </mergeCells>
  <pageMargins left="0.75" right="0.75" top="1" bottom="0.5" header="0.25" footer="0.3"/>
  <pageSetup paperSize="122" fitToWidth="0" orientation="landscape" horizontalDpi="1200" verticalDpi="1200" r:id="rId1"/>
  <headerFooter>
    <oddHeader>&amp;L&amp;G&amp;C&amp;"-,Bold"&amp;16 2023-2025 planning allocation
to Area Agencies on Aging</oddHeader>
  </headerFooter>
  <legacy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C7F60-1762-4432-B0AB-3A21F63AC3F2}">
  <sheetPr>
    <tabColor rgb="FFFFFF66"/>
    <pageSetUpPr fitToPage="1"/>
  </sheetPr>
  <dimension ref="A1:X40"/>
  <sheetViews>
    <sheetView zoomScaleNormal="100" workbookViewId="0">
      <selection activeCell="B2" sqref="B2"/>
    </sheetView>
  </sheetViews>
  <sheetFormatPr defaultRowHeight="15"/>
  <cols>
    <col min="1" max="1" width="33.5703125" customWidth="1" collapsed="1"/>
    <col min="2" max="2" width="31.85546875" customWidth="1"/>
    <col min="3" max="3" width="14.85546875" style="18" customWidth="1" collapsed="1"/>
    <col min="4" max="4" width="15.42578125" style="18" customWidth="1" collapsed="1"/>
    <col min="5" max="5" width="14.140625" style="18" bestFit="1" customWidth="1" collapsed="1"/>
    <col min="6" max="6" width="12.140625" style="18" bestFit="1" customWidth="1" collapsed="1"/>
    <col min="7" max="7" width="11.5703125" style="18" bestFit="1" customWidth="1" collapsed="1"/>
    <col min="8" max="8" width="16.5703125" bestFit="1" customWidth="1" collapsed="1"/>
    <col min="9" max="9" width="13.28515625" bestFit="1" customWidth="1" collapsed="1"/>
    <col min="11" max="11" width="10.42578125" bestFit="1" customWidth="1"/>
  </cols>
  <sheetData>
    <row r="1" spans="1:24" ht="32.25" customHeight="1" thickBot="1">
      <c r="A1" s="676" t="s">
        <v>30</v>
      </c>
      <c r="B1" s="674"/>
      <c r="C1" s="674"/>
      <c r="D1" s="674"/>
      <c r="E1" s="674"/>
      <c r="F1" s="674"/>
      <c r="G1" s="674"/>
      <c r="H1" s="675"/>
    </row>
    <row r="2" spans="1:24" s="64" customFormat="1" ht="36">
      <c r="A2" s="673" t="s">
        <v>477</v>
      </c>
      <c r="B2" s="673" t="s">
        <v>478</v>
      </c>
      <c r="C2" s="673" t="s">
        <v>22</v>
      </c>
      <c r="D2" s="673" t="s">
        <v>26</v>
      </c>
      <c r="E2" s="673" t="s">
        <v>390</v>
      </c>
      <c r="F2" s="673" t="s">
        <v>443</v>
      </c>
      <c r="G2" s="673" t="s">
        <v>444</v>
      </c>
      <c r="H2" s="673" t="s">
        <v>445</v>
      </c>
    </row>
    <row r="3" spans="1:24" s="269" customFormat="1" ht="15.75">
      <c r="A3" s="677" t="s">
        <v>479</v>
      </c>
      <c r="B3" s="622" t="s">
        <v>474</v>
      </c>
      <c r="C3" s="623">
        <f>'4. Award History&amp;Projections '!B16</f>
        <v>5364358</v>
      </c>
      <c r="D3" s="624">
        <v>0.25</v>
      </c>
      <c r="E3" s="623">
        <f>ROUND(C3*D3,0)</f>
        <v>1341090</v>
      </c>
      <c r="F3" s="623"/>
      <c r="G3" s="623"/>
      <c r="H3" s="623">
        <f>SUM(E3:G3)</f>
        <v>1341090</v>
      </c>
    </row>
    <row r="4" spans="1:24" s="269" customFormat="1" ht="15.75">
      <c r="A4" s="678" t="s">
        <v>480</v>
      </c>
      <c r="B4" s="622" t="s">
        <v>475</v>
      </c>
      <c r="C4" s="623">
        <f>'4. Award History&amp;Projections '!B17</f>
        <v>5364358</v>
      </c>
      <c r="D4" s="624">
        <v>1</v>
      </c>
      <c r="E4" s="623"/>
      <c r="F4" s="623">
        <f>ROUND(C4*D4,0)</f>
        <v>5364358</v>
      </c>
      <c r="G4" s="623"/>
      <c r="H4" s="623">
        <f>SUM(E4:G4)</f>
        <v>5364358</v>
      </c>
    </row>
    <row r="5" spans="1:24" s="269" customFormat="1" ht="15.75">
      <c r="A5" s="679" t="s">
        <v>481</v>
      </c>
      <c r="B5" s="622" t="s">
        <v>476</v>
      </c>
      <c r="C5" s="623">
        <f>'4. Award History&amp;Projections '!B18</f>
        <v>5364358</v>
      </c>
      <c r="D5" s="624">
        <v>0.75</v>
      </c>
      <c r="E5" s="625"/>
      <c r="F5" s="625"/>
      <c r="G5" s="625">
        <f>ROUND(C5*D5,0)</f>
        <v>4023269</v>
      </c>
      <c r="H5" s="625">
        <f>SUM(E5:G5)</f>
        <v>4023269</v>
      </c>
    </row>
    <row r="6" spans="1:24" s="269" customFormat="1" ht="15.75">
      <c r="A6" s="622"/>
      <c r="B6" s="622" t="s">
        <v>23</v>
      </c>
      <c r="C6" s="623"/>
      <c r="D6" s="623"/>
      <c r="E6" s="623">
        <f>SUM(E3:E5)</f>
        <v>1341090</v>
      </c>
      <c r="F6" s="623">
        <f>SUM(F3:F5)</f>
        <v>5364358</v>
      </c>
      <c r="G6" s="623">
        <f>SUM(G3:G5)</f>
        <v>4023269</v>
      </c>
      <c r="H6" s="623">
        <f>SUM(H3:H5)</f>
        <v>10728717</v>
      </c>
    </row>
    <row r="7" spans="1:24" s="269" customFormat="1" ht="15.75">
      <c r="A7" s="622"/>
      <c r="B7" s="622" t="s">
        <v>24</v>
      </c>
      <c r="C7" s="623"/>
      <c r="D7" s="626">
        <v>0.05</v>
      </c>
      <c r="E7" s="625">
        <f>ROUND($D$7*-E6,0)</f>
        <v>-67055</v>
      </c>
      <c r="F7" s="625">
        <f>ROUND($D$7*-F6,0)</f>
        <v>-268218</v>
      </c>
      <c r="G7" s="625">
        <f>ROUND($D$7*-G6,0)</f>
        <v>-201163</v>
      </c>
      <c r="H7" s="625">
        <f>SUM(E7:G7)</f>
        <v>-536436</v>
      </c>
    </row>
    <row r="8" spans="1:24" s="269" customFormat="1" ht="15.75">
      <c r="A8" s="622"/>
      <c r="B8" s="622" t="s">
        <v>23</v>
      </c>
      <c r="C8" s="623"/>
      <c r="D8" s="623"/>
      <c r="E8" s="623">
        <f>SUM(E6:E7)</f>
        <v>1274035</v>
      </c>
      <c r="F8" s="623">
        <f>SUM(F6:F7)</f>
        <v>5096140</v>
      </c>
      <c r="G8" s="623">
        <f>SUM(G6:G7)</f>
        <v>3822106</v>
      </c>
      <c r="H8" s="623">
        <f>SUM(H6:H7)</f>
        <v>10192281</v>
      </c>
    </row>
    <row r="9" spans="1:24" s="269" customFormat="1" ht="15.75">
      <c r="A9" s="622"/>
      <c r="B9" s="547" t="s">
        <v>321</v>
      </c>
      <c r="C9" s="623">
        <f>-'4. Award History&amp;Projections '!K28</f>
        <v>-56913.5</v>
      </c>
      <c r="D9" s="680">
        <v>0.25</v>
      </c>
      <c r="E9" s="447">
        <f>ROUND(C9*D9,0)</f>
        <v>-14228</v>
      </c>
      <c r="F9" s="447"/>
      <c r="G9" s="447"/>
      <c r="H9" s="447">
        <f>SUM(E9:G9)</f>
        <v>-14228</v>
      </c>
    </row>
    <row r="10" spans="1:24" s="269" customFormat="1" ht="15.75">
      <c r="A10" s="622"/>
      <c r="B10" s="547" t="s">
        <v>394</v>
      </c>
      <c r="C10" s="623">
        <f>-'4. Award History&amp;Projections '!K29</f>
        <v>-56913.5</v>
      </c>
      <c r="D10" s="680">
        <v>1</v>
      </c>
      <c r="E10" s="447"/>
      <c r="F10" s="447">
        <f>ROUND(C10*D10,0)</f>
        <v>-56914</v>
      </c>
      <c r="G10" s="447"/>
      <c r="H10" s="447">
        <f>SUM(E10:G10)</f>
        <v>-56914</v>
      </c>
    </row>
    <row r="11" spans="1:24" s="269" customFormat="1" ht="15.75">
      <c r="A11" s="622"/>
      <c r="B11" s="547" t="s">
        <v>395</v>
      </c>
      <c r="C11" s="623">
        <f>-'4. Award History&amp;Projections '!K30</f>
        <v>-56913.5</v>
      </c>
      <c r="D11" s="680">
        <v>0.75</v>
      </c>
      <c r="E11" s="462"/>
      <c r="F11" s="462"/>
      <c r="G11" s="462">
        <f>ROUND(C11*D11,0)</f>
        <v>-42685</v>
      </c>
      <c r="H11" s="462">
        <f>SUM(E11:G11)</f>
        <v>-42685</v>
      </c>
    </row>
    <row r="12" spans="1:24" s="269" customFormat="1" ht="15.75">
      <c r="A12" s="622"/>
      <c r="B12" s="547" t="s">
        <v>166</v>
      </c>
      <c r="C12" s="623"/>
      <c r="D12" s="623"/>
      <c r="E12" s="681">
        <f>SUM(E9:E11)</f>
        <v>-14228</v>
      </c>
      <c r="F12" s="681">
        <f>SUM(F9:F11)</f>
        <v>-56914</v>
      </c>
      <c r="G12" s="681">
        <f>SUM(G9:G11)</f>
        <v>-42685</v>
      </c>
      <c r="H12" s="463">
        <f>SUM(H9:H11)</f>
        <v>-113827</v>
      </c>
    </row>
    <row r="13" spans="1:24" s="630" customFormat="1" ht="15.75">
      <c r="A13" s="627"/>
      <c r="B13" s="547" t="s">
        <v>23</v>
      </c>
      <c r="C13" s="628"/>
      <c r="D13" s="629"/>
      <c r="E13" s="682">
        <f>SUM(E8:E11)</f>
        <v>1259807</v>
      </c>
      <c r="F13" s="682">
        <f>SUM(F8:F11)</f>
        <v>5039226</v>
      </c>
      <c r="G13" s="682">
        <f>SUM(G8:G11)</f>
        <v>3779421</v>
      </c>
      <c r="H13" s="682">
        <f>SUM(H8:H11)</f>
        <v>10078454</v>
      </c>
    </row>
    <row r="14" spans="1:24" s="632" customFormat="1" ht="15.75">
      <c r="A14" s="622"/>
      <c r="B14" s="622" t="s">
        <v>35</v>
      </c>
      <c r="C14" s="623"/>
      <c r="D14" s="623"/>
      <c r="E14" s="631"/>
      <c r="F14" s="631"/>
      <c r="G14" s="631"/>
      <c r="H14" s="631">
        <v>0</v>
      </c>
    </row>
    <row r="15" spans="1:24" s="637" customFormat="1" ht="16.5" thickBot="1">
      <c r="A15" s="633"/>
      <c r="B15" s="633" t="s">
        <v>29</v>
      </c>
      <c r="C15" s="634"/>
      <c r="D15" s="634"/>
      <c r="E15" s="635"/>
      <c r="F15" s="635"/>
      <c r="G15" s="635"/>
      <c r="H15" s="636">
        <f>SUM(H13:H14)</f>
        <v>10078454</v>
      </c>
    </row>
    <row r="16" spans="1:24" s="641" customFormat="1" ht="15.75" thickTop="1">
      <c r="A16" s="638"/>
      <c r="B16" s="638"/>
      <c r="C16" s="639"/>
      <c r="D16" s="639"/>
      <c r="E16" s="640"/>
      <c r="F16" s="640"/>
      <c r="G16" s="640"/>
      <c r="H16" s="640"/>
      <c r="I16" s="632"/>
      <c r="J16" s="632"/>
      <c r="K16" s="632"/>
      <c r="L16" s="632"/>
      <c r="M16" s="632"/>
      <c r="N16" s="632"/>
      <c r="O16" s="632"/>
      <c r="P16" s="632"/>
      <c r="Q16" s="632"/>
      <c r="R16" s="632"/>
      <c r="S16" s="632"/>
      <c r="T16" s="632"/>
      <c r="U16" s="632"/>
      <c r="V16" s="632"/>
      <c r="W16" s="632"/>
      <c r="X16" s="632"/>
    </row>
    <row r="17" spans="1:24" s="269" customFormat="1" ht="15.75">
      <c r="A17" s="642"/>
      <c r="B17" s="642" t="s">
        <v>144</v>
      </c>
      <c r="C17" s="623"/>
      <c r="D17" s="623"/>
      <c r="E17" s="623"/>
      <c r="F17" s="623"/>
      <c r="G17" s="623"/>
      <c r="H17" s="623"/>
      <c r="I17" s="637"/>
      <c r="J17" s="637"/>
      <c r="K17" s="637"/>
      <c r="L17" s="637"/>
      <c r="M17" s="637"/>
      <c r="N17" s="637"/>
      <c r="O17" s="637"/>
      <c r="P17" s="637"/>
      <c r="Q17" s="637"/>
      <c r="R17" s="637"/>
      <c r="S17" s="637"/>
      <c r="T17" s="637"/>
      <c r="U17" s="637"/>
      <c r="V17" s="637"/>
      <c r="W17" s="637"/>
      <c r="X17" s="637"/>
    </row>
    <row r="18" spans="1:24" s="269" customFormat="1" ht="15.75">
      <c r="A18" s="643"/>
      <c r="B18" s="643" t="s">
        <v>36</v>
      </c>
      <c r="C18" s="623">
        <f>'4. Award History&amp;Projections '!B19</f>
        <v>55000</v>
      </c>
      <c r="D18" s="623">
        <v>16</v>
      </c>
      <c r="E18" s="623"/>
      <c r="F18" s="623"/>
      <c r="G18" s="623"/>
      <c r="H18" s="623">
        <f>C18*D18</f>
        <v>880000</v>
      </c>
      <c r="I18" s="632"/>
      <c r="J18" s="632"/>
      <c r="K18" s="632"/>
      <c r="L18" s="632"/>
      <c r="M18" s="632"/>
      <c r="N18" s="632"/>
      <c r="O18" s="632"/>
      <c r="P18" s="632"/>
      <c r="Q18" s="632"/>
      <c r="R18" s="632"/>
      <c r="S18" s="632"/>
      <c r="T18" s="632"/>
      <c r="U18" s="632"/>
      <c r="V18" s="632"/>
      <c r="W18" s="632"/>
      <c r="X18" s="632"/>
    </row>
    <row r="19" spans="1:24" s="269" customFormat="1" ht="15.75">
      <c r="A19" s="622"/>
      <c r="B19" s="622" t="s">
        <v>28</v>
      </c>
      <c r="C19" s="623"/>
      <c r="D19" s="626">
        <v>0.05</v>
      </c>
      <c r="E19" s="623"/>
      <c r="F19" s="623"/>
      <c r="G19" s="623"/>
      <c r="H19" s="623">
        <f>ROUND((H15-H18)*D19,0)</f>
        <v>459923</v>
      </c>
      <c r="I19" s="637"/>
      <c r="J19" s="637"/>
      <c r="K19" s="637"/>
      <c r="L19" s="637"/>
      <c r="M19" s="637"/>
      <c r="N19" s="637"/>
      <c r="O19" s="637"/>
      <c r="P19" s="637"/>
      <c r="Q19" s="637"/>
      <c r="R19" s="637"/>
      <c r="S19" s="637"/>
      <c r="T19" s="637"/>
      <c r="U19" s="637"/>
      <c r="V19" s="637"/>
      <c r="W19" s="637"/>
      <c r="X19" s="637"/>
    </row>
    <row r="20" spans="1:24" s="269" customFormat="1" ht="15.75">
      <c r="A20" s="622"/>
      <c r="B20" s="622" t="s">
        <v>37</v>
      </c>
      <c r="C20" s="623"/>
      <c r="D20" s="626">
        <v>1</v>
      </c>
      <c r="E20" s="623"/>
      <c r="F20" s="623"/>
      <c r="G20" s="623"/>
      <c r="H20" s="623">
        <f>H15-H18-H19</f>
        <v>8738531</v>
      </c>
      <c r="I20" s="632"/>
      <c r="J20" s="632"/>
      <c r="K20" s="632"/>
      <c r="L20" s="632"/>
      <c r="M20" s="632"/>
      <c r="N20" s="632"/>
      <c r="O20" s="632"/>
      <c r="P20" s="632"/>
      <c r="Q20" s="632"/>
      <c r="R20" s="632"/>
      <c r="S20" s="632"/>
      <c r="T20" s="632"/>
      <c r="U20" s="632"/>
      <c r="V20" s="632"/>
      <c r="W20" s="632"/>
      <c r="X20" s="632"/>
    </row>
    <row r="21" spans="1:24" s="637" customFormat="1" ht="16.5" thickBot="1">
      <c r="A21" s="633"/>
      <c r="B21" s="633" t="s">
        <v>29</v>
      </c>
      <c r="C21" s="634"/>
      <c r="D21" s="634"/>
      <c r="E21" s="634"/>
      <c r="F21" s="634"/>
      <c r="G21" s="634"/>
      <c r="H21" s="636">
        <f>SUM(H18:H20)</f>
        <v>10078454</v>
      </c>
    </row>
    <row r="22" spans="1:24" s="152" customFormat="1" ht="6.75" customHeight="1" thickTop="1">
      <c r="A22" s="77"/>
      <c r="B22" s="77"/>
      <c r="C22" s="78"/>
      <c r="D22" s="78"/>
      <c r="E22" s="78"/>
      <c r="F22" s="78"/>
      <c r="G22" s="78"/>
      <c r="H22" s="77"/>
      <c r="I22" s="632"/>
      <c r="J22" s="632"/>
      <c r="K22" s="632"/>
      <c r="L22" s="632"/>
      <c r="M22" s="632"/>
      <c r="N22" s="632"/>
      <c r="O22" s="632"/>
      <c r="P22" s="632"/>
      <c r="Q22" s="632"/>
      <c r="R22" s="632"/>
      <c r="S22" s="632"/>
      <c r="T22" s="632"/>
      <c r="U22" s="632"/>
      <c r="V22" s="632"/>
      <c r="W22" s="632"/>
      <c r="X22" s="632"/>
    </row>
    <row r="23" spans="1:24" s="64" customFormat="1" ht="72">
      <c r="A23"/>
      <c r="B23" s="154" t="s">
        <v>58</v>
      </c>
      <c r="C23" s="621" t="s">
        <v>36</v>
      </c>
      <c r="D23" s="84" t="s">
        <v>203</v>
      </c>
      <c r="E23" s="84" t="s">
        <v>427</v>
      </c>
      <c r="F23" s="85" t="s">
        <v>214</v>
      </c>
    </row>
    <row r="24" spans="1:24" s="644" customFormat="1" ht="15.75">
      <c r="B24" s="645" t="s">
        <v>72</v>
      </c>
      <c r="C24" s="646">
        <f>$C$18</f>
        <v>55000</v>
      </c>
      <c r="D24" s="647">
        <f>ROUND(('3. Population-NSIP#'!E3*$H$20),0)</f>
        <v>306063</v>
      </c>
      <c r="E24" s="648">
        <f>ROUND(C24+D24,0)</f>
        <v>361063</v>
      </c>
      <c r="F24" s="649">
        <f>E24/$E$40</f>
        <v>3.7538264674900491E-2</v>
      </c>
      <c r="G24" s="623"/>
    </row>
    <row r="25" spans="1:24" s="644" customFormat="1" ht="15.75">
      <c r="B25" s="645" t="s">
        <v>61</v>
      </c>
      <c r="C25" s="646">
        <f t="shared" ref="C25:C39" si="0">$C$18</f>
        <v>55000</v>
      </c>
      <c r="D25" s="647">
        <f>ROUND(('3. Population-NSIP#'!E4*$H$20),0)</f>
        <v>114500</v>
      </c>
      <c r="E25" s="648">
        <f t="shared" ref="E25:E39" si="1">ROUND(C25+D25,0)</f>
        <v>169500</v>
      </c>
      <c r="F25" s="649">
        <f t="shared" ref="F25:F39" si="2">E25/$E$40</f>
        <v>1.7622231750125696E-2</v>
      </c>
      <c r="G25" s="623"/>
    </row>
    <row r="26" spans="1:24" s="644" customFormat="1" ht="15.75">
      <c r="B26" s="645" t="s">
        <v>73</v>
      </c>
      <c r="C26" s="646">
        <f t="shared" si="0"/>
        <v>55000</v>
      </c>
      <c r="D26" s="647">
        <f>ROUND(('3. Population-NSIP#'!E5*$H$20),0)</f>
        <v>165770</v>
      </c>
      <c r="E26" s="648">
        <f t="shared" si="1"/>
        <v>220770</v>
      </c>
      <c r="F26" s="649">
        <f t="shared" si="2"/>
        <v>2.2952566982154865E-2</v>
      </c>
      <c r="G26" s="623"/>
    </row>
    <row r="27" spans="1:24" s="644" customFormat="1" ht="15.75">
      <c r="B27" s="645" t="s">
        <v>60</v>
      </c>
      <c r="C27" s="646">
        <f t="shared" si="0"/>
        <v>55000</v>
      </c>
      <c r="D27" s="647">
        <f>ROUND(('3. Population-NSIP#'!E6*$H$20),0)</f>
        <v>915989</v>
      </c>
      <c r="E27" s="648">
        <f t="shared" si="1"/>
        <v>970989</v>
      </c>
      <c r="F27" s="649">
        <f t="shared" si="2"/>
        <v>0.10094981229983951</v>
      </c>
      <c r="G27" s="623"/>
    </row>
    <row r="28" spans="1:24" s="644" customFormat="1" ht="15.75">
      <c r="B28" s="645" t="s">
        <v>70</v>
      </c>
      <c r="C28" s="646">
        <f t="shared" si="0"/>
        <v>55000</v>
      </c>
      <c r="D28" s="647">
        <f>ROUND(('3. Population-NSIP#'!E7*$H$20),0)</f>
        <v>533447</v>
      </c>
      <c r="E28" s="648">
        <f t="shared" si="1"/>
        <v>588447</v>
      </c>
      <c r="F28" s="649">
        <f t="shared" si="2"/>
        <v>6.117846257620186E-2</v>
      </c>
      <c r="G28" s="623"/>
    </row>
    <row r="29" spans="1:24" s="644" customFormat="1" ht="15.75">
      <c r="B29" s="645" t="s">
        <v>169</v>
      </c>
      <c r="C29" s="646">
        <f t="shared" si="0"/>
        <v>55000</v>
      </c>
      <c r="D29" s="647">
        <f>ROUND(('3. Population-NSIP#'!E8*$H$20),0)</f>
        <v>334281</v>
      </c>
      <c r="E29" s="648">
        <f t="shared" si="1"/>
        <v>389281</v>
      </c>
      <c r="F29" s="649">
        <f t="shared" si="2"/>
        <v>4.0471976388912569E-2</v>
      </c>
      <c r="G29" s="623"/>
    </row>
    <row r="30" spans="1:24" s="644" customFormat="1" ht="15.75">
      <c r="B30" s="645" t="s">
        <v>74</v>
      </c>
      <c r="C30" s="646">
        <f t="shared" si="0"/>
        <v>55000</v>
      </c>
      <c r="D30" s="647">
        <f>ROUND(('3. Population-NSIP#'!E9*$H$20),0)</f>
        <v>20529</v>
      </c>
      <c r="E30" s="648">
        <f>ROUND(C30+D30,0)</f>
        <v>75529</v>
      </c>
      <c r="F30" s="649">
        <f t="shared" si="2"/>
        <v>7.8524456746622041E-3</v>
      </c>
      <c r="G30" s="623"/>
    </row>
    <row r="31" spans="1:24" s="644" customFormat="1" ht="15.75">
      <c r="B31" s="645" t="s">
        <v>71</v>
      </c>
      <c r="C31" s="646">
        <f t="shared" si="0"/>
        <v>55000</v>
      </c>
      <c r="D31" s="647">
        <f>ROUND(('3. Population-NSIP#'!E10*$H$20),0)</f>
        <v>197814</v>
      </c>
      <c r="E31" s="648">
        <f t="shared" si="1"/>
        <v>252814</v>
      </c>
      <c r="F31" s="649">
        <f t="shared" si="2"/>
        <v>2.6284052493665354E-2</v>
      </c>
      <c r="G31" s="623"/>
    </row>
    <row r="32" spans="1:24" s="644" customFormat="1" ht="15.75">
      <c r="B32" s="645" t="s">
        <v>65</v>
      </c>
      <c r="C32" s="646">
        <f t="shared" si="0"/>
        <v>55000</v>
      </c>
      <c r="D32" s="647">
        <f>ROUND(('3. Population-NSIP#'!E11*$H$20),0)</f>
        <v>847334</v>
      </c>
      <c r="E32" s="648">
        <f t="shared" si="1"/>
        <v>902334</v>
      </c>
      <c r="F32" s="649">
        <f t="shared" si="2"/>
        <v>9.3812028696270908E-2</v>
      </c>
      <c r="G32" s="623"/>
    </row>
    <row r="33" spans="1:11" s="644" customFormat="1" ht="15.75">
      <c r="B33" s="645" t="s">
        <v>221</v>
      </c>
      <c r="C33" s="646">
        <f t="shared" si="0"/>
        <v>55000</v>
      </c>
      <c r="D33" s="647">
        <f>ROUND(('3. Population-NSIP#'!E12*$H$20),0)+1</f>
        <v>1312470</v>
      </c>
      <c r="E33" s="648">
        <f t="shared" si="1"/>
        <v>1367470</v>
      </c>
      <c r="F33" s="649">
        <f t="shared" si="2"/>
        <v>0.14217034366574857</v>
      </c>
      <c r="G33" s="623"/>
    </row>
    <row r="34" spans="1:11" s="644" customFormat="1" ht="15.75">
      <c r="B34" s="645" t="s">
        <v>75</v>
      </c>
      <c r="C34" s="646">
        <f t="shared" si="0"/>
        <v>55000</v>
      </c>
      <c r="D34" s="647">
        <f>ROUND(('3. Population-NSIP#'!E13*$H$20),0)</f>
        <v>69089</v>
      </c>
      <c r="E34" s="648">
        <f t="shared" si="1"/>
        <v>124089</v>
      </c>
      <c r="F34" s="649">
        <f t="shared" si="2"/>
        <v>1.2901033130627418E-2</v>
      </c>
      <c r="G34" s="623"/>
    </row>
    <row r="35" spans="1:11" s="644" customFormat="1" ht="15.75">
      <c r="B35" s="645" t="s">
        <v>59</v>
      </c>
      <c r="C35" s="646">
        <f t="shared" si="0"/>
        <v>55000</v>
      </c>
      <c r="D35" s="647">
        <f>ROUND(('3. Population-NSIP#'!E14*$H$20),0)</f>
        <v>1207561</v>
      </c>
      <c r="E35" s="648">
        <f t="shared" si="1"/>
        <v>1262561</v>
      </c>
      <c r="F35" s="649">
        <f t="shared" si="2"/>
        <v>0.13126337782106459</v>
      </c>
      <c r="G35" s="623"/>
    </row>
    <row r="36" spans="1:11" s="644" customFormat="1" ht="15.75">
      <c r="B36" s="645" t="s">
        <v>64</v>
      </c>
      <c r="C36" s="646">
        <f t="shared" si="0"/>
        <v>55000</v>
      </c>
      <c r="D36" s="647">
        <f>ROUND(('3. Population-NSIP#'!E15*$H$20),0)</f>
        <v>606906</v>
      </c>
      <c r="E36" s="648">
        <f t="shared" si="1"/>
        <v>661906</v>
      </c>
      <c r="F36" s="649">
        <f t="shared" si="2"/>
        <v>6.881569869497757E-2</v>
      </c>
      <c r="G36" s="623"/>
    </row>
    <row r="37" spans="1:11" s="644" customFormat="1" ht="15.75">
      <c r="B37" s="645" t="s">
        <v>68</v>
      </c>
      <c r="C37" s="646">
        <f t="shared" si="0"/>
        <v>55000</v>
      </c>
      <c r="D37" s="647">
        <f>ROUND(('3. Population-NSIP#'!E16*$H$20),0)</f>
        <v>834353</v>
      </c>
      <c r="E37" s="648">
        <f t="shared" si="1"/>
        <v>889353</v>
      </c>
      <c r="F37" s="649">
        <f t="shared" si="2"/>
        <v>9.2462446452327651E-2</v>
      </c>
      <c r="G37" s="623"/>
    </row>
    <row r="38" spans="1:11" s="644" customFormat="1" ht="15.75">
      <c r="B38" s="645" t="s">
        <v>67</v>
      </c>
      <c r="C38" s="646">
        <f t="shared" si="0"/>
        <v>55000</v>
      </c>
      <c r="D38" s="647">
        <f>ROUND(('3. Population-NSIP#'!E17*$H$20),0)</f>
        <v>273068</v>
      </c>
      <c r="E38" s="648">
        <f t="shared" si="1"/>
        <v>328068</v>
      </c>
      <c r="F38" s="649">
        <f t="shared" si="2"/>
        <v>3.4107907526845054E-2</v>
      </c>
      <c r="G38" s="623"/>
    </row>
    <row r="39" spans="1:11" s="644" customFormat="1" ht="15.75">
      <c r="B39" s="645" t="s">
        <v>63</v>
      </c>
      <c r="C39" s="646">
        <f t="shared" si="0"/>
        <v>55000</v>
      </c>
      <c r="D39" s="647">
        <f>ROUND(('3. Population-NSIP#'!E18*$H$20),0)</f>
        <v>999358</v>
      </c>
      <c r="E39" s="648">
        <f t="shared" si="1"/>
        <v>1054358</v>
      </c>
      <c r="F39" s="649">
        <f t="shared" si="2"/>
        <v>0.10961735117167568</v>
      </c>
      <c r="G39" s="623"/>
    </row>
    <row r="40" spans="1:11" s="654" customFormat="1" ht="15.75">
      <c r="A40" s="644"/>
      <c r="B40" s="650" t="s">
        <v>29</v>
      </c>
      <c r="C40" s="651">
        <f>SUM(C24:C39)</f>
        <v>880000</v>
      </c>
      <c r="D40" s="651">
        <f>SUM(D24:D39)</f>
        <v>8738532</v>
      </c>
      <c r="E40" s="652">
        <f>SUM(E24:E39)</f>
        <v>9618532</v>
      </c>
      <c r="F40" s="653">
        <f>SUM(F24:F39)</f>
        <v>1</v>
      </c>
      <c r="I40" s="655"/>
      <c r="K40" s="655"/>
    </row>
  </sheetData>
  <pageMargins left="0.25" right="0.25" top="0.75" bottom="0.75" header="0.3" footer="0.3"/>
  <pageSetup scale="73" orientation="landscape" r:id="rId1"/>
  <headerFooter alignWithMargins="0">
    <oddFooter>&amp;R&amp;"Century Gothic,Regular"Page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rgb="FFFFFF66"/>
    <pageSetUpPr fitToPage="1"/>
  </sheetPr>
  <dimension ref="A1:I42"/>
  <sheetViews>
    <sheetView zoomScaleNormal="100" zoomScaleSheetLayoutView="115" zoomScalePageLayoutView="64" workbookViewId="0">
      <selection activeCell="B28" sqref="B28"/>
    </sheetView>
  </sheetViews>
  <sheetFormatPr defaultRowHeight="15"/>
  <cols>
    <col min="1" max="1" width="22.140625" customWidth="1"/>
    <col min="2" max="2" width="43.28515625" customWidth="1" collapsed="1"/>
    <col min="3" max="4" width="13.28515625" style="4" customWidth="1" collapsed="1"/>
    <col min="5" max="7" width="13.28515625" style="7" customWidth="1" collapsed="1"/>
    <col min="8" max="8" width="13.28515625" customWidth="1" collapsed="1"/>
    <col min="9" max="9" width="10.5703125" bestFit="1" customWidth="1" collapsed="1"/>
  </cols>
  <sheetData>
    <row r="1" spans="1:8" s="305" customFormat="1" ht="24" thickBot="1">
      <c r="A1" s="692" t="s">
        <v>30</v>
      </c>
      <c r="B1" s="684"/>
      <c r="C1" s="684"/>
      <c r="D1" s="684"/>
      <c r="E1" s="684"/>
      <c r="F1" s="684"/>
      <c r="G1" s="684"/>
      <c r="H1" s="685"/>
    </row>
    <row r="2" spans="1:8" s="64" customFormat="1" ht="36">
      <c r="A2" s="673" t="s">
        <v>477</v>
      </c>
      <c r="B2" s="673" t="s">
        <v>478</v>
      </c>
      <c r="C2" s="673" t="s">
        <v>22</v>
      </c>
      <c r="D2" s="673" t="s">
        <v>26</v>
      </c>
      <c r="E2" s="673" t="s">
        <v>390</v>
      </c>
      <c r="F2" s="673" t="s">
        <v>443</v>
      </c>
      <c r="G2" s="673" t="s">
        <v>444</v>
      </c>
      <c r="H2" s="673" t="s">
        <v>445</v>
      </c>
    </row>
    <row r="3" spans="1:8" ht="15.75">
      <c r="A3" s="677" t="str" cm="1">
        <f t="array" ref="A3">_xlfn.XLOOKUP($A$1,Titles,_xlfn.XLOOKUP(LEFT(B3,4),GrantYears,FAIN),"x",-1)</f>
        <v>2301OROASS</v>
      </c>
      <c r="B3" s="48" t="s">
        <v>393</v>
      </c>
      <c r="C3" s="30">
        <f>'4. Award History&amp;Projections '!B16</f>
        <v>5364358</v>
      </c>
      <c r="D3" s="6">
        <v>0.25</v>
      </c>
      <c r="E3" s="7">
        <f>ROUND(C3*D3,0)</f>
        <v>1341090</v>
      </c>
      <c r="H3" s="7">
        <f>SUM(E3:G3)</f>
        <v>1341090</v>
      </c>
    </row>
    <row r="4" spans="1:8" ht="15.75">
      <c r="A4" s="678" t="str" cm="1">
        <f t="array" ref="A4">_xlfn.XLOOKUP($A$1,Titles,_xlfn.XLOOKUP(LEFT(B4,4),GrantYears,FAIN),"x",-1)</f>
        <v>2401OROASS</v>
      </c>
      <c r="B4" s="48" t="s">
        <v>441</v>
      </c>
      <c r="C4" s="30">
        <f>'4. Award History&amp;Projections '!B17</f>
        <v>5364358</v>
      </c>
      <c r="D4" s="6">
        <v>1</v>
      </c>
      <c r="F4" s="9">
        <f>ROUND(C4*D4,0)</f>
        <v>5364358</v>
      </c>
      <c r="H4" s="9">
        <f>SUM(E4:G4)</f>
        <v>5364358</v>
      </c>
    </row>
    <row r="5" spans="1:8" ht="15.75">
      <c r="A5" s="679" t="str" cm="1">
        <f t="array" ref="A5">_xlfn.XLOOKUP($A$1,Titles,_xlfn.XLOOKUP(LEFT(B5,4),GrantYears,FAIN),"x",-1)</f>
        <v>2501OROASS</v>
      </c>
      <c r="B5" s="48" t="s">
        <v>442</v>
      </c>
      <c r="C5" s="30">
        <f>'4. Award History&amp;Projections '!B18</f>
        <v>5364358</v>
      </c>
      <c r="D5" s="6">
        <v>0.75</v>
      </c>
      <c r="E5" s="8"/>
      <c r="F5" s="8"/>
      <c r="G5" s="8">
        <f>ROUND(C5*D5,0)</f>
        <v>4023269</v>
      </c>
      <c r="H5" s="8">
        <f>SUM(E5:G5)</f>
        <v>4023269</v>
      </c>
    </row>
    <row r="6" spans="1:8">
      <c r="A6" s="190"/>
      <c r="B6" s="48" t="s">
        <v>23</v>
      </c>
      <c r="C6" s="30"/>
      <c r="E6" s="9">
        <f>SUM(E3:E5)</f>
        <v>1341090</v>
      </c>
      <c r="F6" s="9">
        <f>SUM(F3:F5)</f>
        <v>5364358</v>
      </c>
      <c r="G6" s="9">
        <f>SUM(G3:G5)</f>
        <v>4023269</v>
      </c>
      <c r="H6" s="30">
        <f>SUM(H3:H5)</f>
        <v>10728717</v>
      </c>
    </row>
    <row r="7" spans="1:8">
      <c r="A7" s="190"/>
      <c r="B7" s="48" t="s">
        <v>24</v>
      </c>
      <c r="C7" s="30"/>
      <c r="D7" s="5">
        <v>0.05</v>
      </c>
      <c r="E7" s="8">
        <f>ROUND($D$7*-E6,0)</f>
        <v>-67055</v>
      </c>
      <c r="F7" s="8">
        <f>ROUND($D$7*-F6,0)</f>
        <v>-268218</v>
      </c>
      <c r="G7" s="8">
        <f>ROUND($D$7*-G6,0)</f>
        <v>-201163</v>
      </c>
      <c r="H7" s="8">
        <f>SUM(E7:G7)</f>
        <v>-536436</v>
      </c>
    </row>
    <row r="8" spans="1:8">
      <c r="A8" s="190"/>
      <c r="B8" s="48" t="s">
        <v>23</v>
      </c>
      <c r="C8" s="30"/>
      <c r="E8" s="9">
        <f>SUM(E6:E7)</f>
        <v>1274035</v>
      </c>
      <c r="F8" s="9">
        <f>SUM(F6:F7)</f>
        <v>5096140</v>
      </c>
      <c r="G8" s="9">
        <f>SUM(G6:G7)</f>
        <v>3822106</v>
      </c>
      <c r="H8" s="9">
        <f>SUM(H6:H7)</f>
        <v>10192281</v>
      </c>
    </row>
    <row r="9" spans="1:8">
      <c r="A9" s="70"/>
      <c r="B9" s="70" t="s">
        <v>321</v>
      </c>
      <c r="C9" s="30">
        <f>-'4. Award History&amp;Projections '!K28</f>
        <v>-56913.5</v>
      </c>
      <c r="D9" s="6">
        <v>0.25</v>
      </c>
      <c r="E9" s="9">
        <f>ROUND(C9*D9,0)</f>
        <v>-14228</v>
      </c>
      <c r="F9" s="9"/>
      <c r="G9" s="9"/>
      <c r="H9" s="9">
        <f>SUM(E9:G9)</f>
        <v>-14228</v>
      </c>
    </row>
    <row r="10" spans="1:8">
      <c r="A10" s="70"/>
      <c r="B10" s="70" t="s">
        <v>394</v>
      </c>
      <c r="C10" s="30">
        <f>-'4. Award History&amp;Projections '!K29</f>
        <v>-56913.5</v>
      </c>
      <c r="D10" s="6">
        <v>1</v>
      </c>
      <c r="E10" s="9"/>
      <c r="F10" s="9">
        <f>ROUND(C10*D10,0)</f>
        <v>-56914</v>
      </c>
      <c r="G10" s="9"/>
      <c r="H10" s="9">
        <f>SUM(E10:G10)</f>
        <v>-56914</v>
      </c>
    </row>
    <row r="11" spans="1:8">
      <c r="A11" s="70"/>
      <c r="B11" s="70" t="s">
        <v>395</v>
      </c>
      <c r="C11" s="30">
        <f>-'4. Award History&amp;Projections '!K30</f>
        <v>-56913.5</v>
      </c>
      <c r="D11" s="6">
        <v>0.75</v>
      </c>
      <c r="E11" s="8"/>
      <c r="F11" s="8"/>
      <c r="G11" s="8">
        <f>ROUND(C11*D11,0)</f>
        <v>-42685</v>
      </c>
      <c r="H11" s="8">
        <f>SUM(E11:G11)</f>
        <v>-42685</v>
      </c>
    </row>
    <row r="12" spans="1:8">
      <c r="A12" s="190"/>
      <c r="B12" s="48" t="s">
        <v>166</v>
      </c>
      <c r="C12" s="9"/>
      <c r="D12" s="6"/>
      <c r="E12" s="13">
        <f>SUM(E9:E11)</f>
        <v>-14228</v>
      </c>
      <c r="F12" s="13">
        <f>SUM(F9:F11)</f>
        <v>-56914</v>
      </c>
      <c r="G12" s="13">
        <f>SUM(G9:G11)</f>
        <v>-42685</v>
      </c>
      <c r="H12" s="17">
        <f>SUM(H9:H11)</f>
        <v>-113827</v>
      </c>
    </row>
    <row r="13" spans="1:8" s="15" customFormat="1">
      <c r="A13" s="43"/>
      <c r="B13" s="43" t="s">
        <v>23</v>
      </c>
      <c r="C13" s="9"/>
      <c r="D13" s="9"/>
      <c r="E13" s="16">
        <f>SUM(E8:E11)</f>
        <v>1259807</v>
      </c>
      <c r="F13" s="16">
        <f>SUM(F8:F11)</f>
        <v>5039226</v>
      </c>
      <c r="G13" s="16">
        <f>SUM(G8:G11)</f>
        <v>3779421</v>
      </c>
      <c r="H13" s="16">
        <f>SUM(H8:H11)</f>
        <v>10078454</v>
      </c>
    </row>
    <row r="14" spans="1:8" s="15" customFormat="1">
      <c r="A14" s="43"/>
      <c r="B14" s="43" t="s">
        <v>35</v>
      </c>
      <c r="C14" s="9"/>
      <c r="D14" s="9"/>
      <c r="E14" s="17"/>
      <c r="F14" s="17"/>
      <c r="G14" s="17"/>
      <c r="H14" s="17">
        <v>0</v>
      </c>
    </row>
    <row r="15" spans="1:8" s="1" customFormat="1">
      <c r="A15" s="46"/>
      <c r="B15" s="46" t="s">
        <v>29</v>
      </c>
      <c r="C15" s="10"/>
      <c r="D15" s="10"/>
      <c r="E15" s="14"/>
      <c r="F15" s="14"/>
      <c r="G15" s="14"/>
      <c r="H15" s="69">
        <f>SUM(H13:H14)</f>
        <v>10078454</v>
      </c>
    </row>
    <row r="16" spans="1:8" s="686" customFormat="1">
      <c r="A16" s="687"/>
      <c r="B16" s="687"/>
      <c r="C16" s="688"/>
      <c r="D16" s="688"/>
      <c r="E16" s="689"/>
      <c r="F16" s="689"/>
      <c r="G16" s="689"/>
      <c r="H16" s="689"/>
    </row>
    <row r="17" spans="1:9">
      <c r="A17" s="46"/>
      <c r="B17" s="46" t="s">
        <v>144</v>
      </c>
      <c r="H17" s="9"/>
    </row>
    <row r="18" spans="1:9">
      <c r="A18" s="190"/>
      <c r="B18" s="48" t="s">
        <v>27</v>
      </c>
      <c r="C18" s="30">
        <f>'4. Award History&amp;Projections '!B19</f>
        <v>55000</v>
      </c>
      <c r="D18" s="30">
        <v>16</v>
      </c>
      <c r="H18" s="9">
        <f>C18*D18</f>
        <v>880000</v>
      </c>
      <c r="I18" s="12"/>
    </row>
    <row r="19" spans="1:9">
      <c r="A19" s="190"/>
      <c r="B19" s="48" t="s">
        <v>28</v>
      </c>
      <c r="C19" s="30"/>
      <c r="D19" s="31">
        <v>0.05</v>
      </c>
      <c r="H19" s="9">
        <f>ROUND((H15-H18)*D19,0)</f>
        <v>459923</v>
      </c>
    </row>
    <row r="20" spans="1:9">
      <c r="A20" s="190"/>
      <c r="B20" s="48" t="s">
        <v>37</v>
      </c>
      <c r="D20" s="31">
        <v>0.95</v>
      </c>
      <c r="H20" s="9">
        <f>H15-H18-H19</f>
        <v>8738531</v>
      </c>
    </row>
    <row r="21" spans="1:9" s="1" customFormat="1">
      <c r="A21" s="46"/>
      <c r="B21" s="46" t="s">
        <v>29</v>
      </c>
      <c r="C21" s="10"/>
      <c r="D21" s="10"/>
      <c r="E21" s="10"/>
      <c r="F21" s="10"/>
      <c r="G21" s="10"/>
      <c r="H21" s="69">
        <f>SUM(H18:H20)</f>
        <v>10078454</v>
      </c>
    </row>
    <row r="22" spans="1:9" s="169" customFormat="1" ht="6.75" customHeight="1">
      <c r="A22" s="690"/>
      <c r="B22" s="690"/>
      <c r="C22" s="691"/>
      <c r="D22" s="691"/>
      <c r="E22" s="691"/>
      <c r="F22" s="691"/>
      <c r="G22" s="691"/>
      <c r="H22" s="690"/>
    </row>
    <row r="23" spans="1:9" s="64" customFormat="1" ht="90">
      <c r="A23"/>
      <c r="B23" s="154" t="s">
        <v>58</v>
      </c>
      <c r="C23" s="84" t="s">
        <v>191</v>
      </c>
      <c r="D23" s="84" t="s">
        <v>202</v>
      </c>
      <c r="E23" s="84" t="s">
        <v>203</v>
      </c>
      <c r="F23" s="84" t="s">
        <v>231</v>
      </c>
      <c r="G23" s="85" t="s">
        <v>210</v>
      </c>
      <c r="H23" s="86"/>
    </row>
    <row r="24" spans="1:9">
      <c r="B24" s="103" t="s">
        <v>72</v>
      </c>
      <c r="C24" s="65">
        <f>$C$18</f>
        <v>55000</v>
      </c>
      <c r="D24" s="65">
        <f>SUM(('3. Population-NSIP#'!C3*'6. III B'!$H$19),0)</f>
        <v>56988.870742972693</v>
      </c>
      <c r="E24" s="65">
        <f>SUM(('3. Population-NSIP#'!E3*'6. III B'!$H$20),0)</f>
        <v>306062.71566065401</v>
      </c>
      <c r="F24" s="66">
        <f>SUM(C24:E24)</f>
        <v>418051.58640362672</v>
      </c>
      <c r="G24" s="93">
        <f t="shared" ref="G24:G39" si="0">F24/$F$40</f>
        <v>4.1479733538856915E-2</v>
      </c>
      <c r="H24" s="7"/>
    </row>
    <row r="25" spans="1:9">
      <c r="B25" s="103" t="s">
        <v>61</v>
      </c>
      <c r="C25" s="65">
        <f t="shared" ref="C25:C39" si="1">$C$18</f>
        <v>55000</v>
      </c>
      <c r="D25" s="65">
        <f>SUM(('3. Population-NSIP#'!C4*'6. III B'!$H$19),0)</f>
        <v>3149.7148163755801</v>
      </c>
      <c r="E25" s="65">
        <f>SUM(('3. Population-NSIP#'!E4*'6. III B'!$H$20),0)</f>
        <v>114500.4931816442</v>
      </c>
      <c r="F25" s="66">
        <f t="shared" ref="F25:F39" si="2">SUM(C25:E25)</f>
        <v>172650.20799801976</v>
      </c>
      <c r="G25" s="93">
        <f t="shared" si="0"/>
        <v>1.7130624200697817E-2</v>
      </c>
      <c r="H25" s="7"/>
    </row>
    <row r="26" spans="1:9">
      <c r="B26" s="103" t="s">
        <v>73</v>
      </c>
      <c r="C26" s="65">
        <f t="shared" si="1"/>
        <v>55000</v>
      </c>
      <c r="D26" s="65">
        <f>SUM(('3. Population-NSIP#'!C5*'6. III B'!$H$19),0)</f>
        <v>61233.434402511564</v>
      </c>
      <c r="E26" s="65">
        <f>SUM(('3. Population-NSIP#'!E5*'6. III B'!$H$20),0)</f>
        <v>165769.5253188083</v>
      </c>
      <c r="F26" s="66">
        <f t="shared" si="2"/>
        <v>282002.95972131984</v>
      </c>
      <c r="G26" s="93">
        <f t="shared" si="0"/>
        <v>2.7980775595276796E-2</v>
      </c>
      <c r="H26" s="7"/>
    </row>
    <row r="27" spans="1:9">
      <c r="B27" s="103" t="s">
        <v>60</v>
      </c>
      <c r="C27" s="65">
        <f t="shared" si="1"/>
        <v>55000</v>
      </c>
      <c r="D27" s="65">
        <f>SUM(('3. Population-NSIP#'!C6*'6. III B'!$H$19),0)</f>
        <v>8961.5653756899937</v>
      </c>
      <c r="E27" s="65">
        <f>SUM(('3. Population-NSIP#'!E6*'6. III B'!$H$20),0)</f>
        <v>915988.52277129644</v>
      </c>
      <c r="F27" s="66">
        <f t="shared" si="2"/>
        <v>979950.08814698644</v>
      </c>
      <c r="G27" s="93">
        <f t="shared" si="0"/>
        <v>9.7232183442717127E-2</v>
      </c>
      <c r="H27" s="7"/>
    </row>
    <row r="28" spans="1:9">
      <c r="B28" s="103" t="s">
        <v>541</v>
      </c>
      <c r="C28" s="65">
        <f t="shared" si="1"/>
        <v>55000</v>
      </c>
      <c r="D28" s="65">
        <f>SUM(('3. Population-NSIP#'!C7*'6. III B'!$H$19),0)</f>
        <v>37268.319219006953</v>
      </c>
      <c r="E28" s="65">
        <f>SUM(('3. Population-NSIP#'!E7*'6. III B'!$H$20),0)</f>
        <v>533446.92628153402</v>
      </c>
      <c r="F28" s="66">
        <f t="shared" si="2"/>
        <v>625715.24550054094</v>
      </c>
      <c r="G28" s="93">
        <f t="shared" si="0"/>
        <v>6.2084447227773308E-2</v>
      </c>
      <c r="H28" s="7"/>
    </row>
    <row r="29" spans="1:9">
      <c r="B29" s="103" t="s">
        <v>169</v>
      </c>
      <c r="C29" s="65">
        <f t="shared" si="1"/>
        <v>55000</v>
      </c>
      <c r="D29" s="65">
        <f>SUM(('3. Population-NSIP#'!C8*'6. III B'!$H$19),0)</f>
        <v>24130.181015657676</v>
      </c>
      <c r="E29" s="65">
        <f>SUM(('3. Population-NSIP#'!E8*'6. III B'!$H$20),0)</f>
        <v>334281.16787546437</v>
      </c>
      <c r="F29" s="66">
        <f t="shared" si="2"/>
        <v>413411.34889112203</v>
      </c>
      <c r="G29" s="93">
        <f t="shared" si="0"/>
        <v>4.1019321901069543E-2</v>
      </c>
      <c r="H29" s="7"/>
    </row>
    <row r="30" spans="1:9">
      <c r="B30" s="103" t="s">
        <v>74</v>
      </c>
      <c r="C30" s="65">
        <f t="shared" si="1"/>
        <v>55000</v>
      </c>
      <c r="D30" s="65">
        <f>SUM(('3. Population-NSIP#'!C9*'6. III B'!$H$19),0)</f>
        <v>48552.689068170468</v>
      </c>
      <c r="E30" s="65">
        <f>SUM(('3. Population-NSIP#'!E9*'6. III B'!$H$20),0)</f>
        <v>20529.066627416654</v>
      </c>
      <c r="F30" s="66">
        <f t="shared" si="2"/>
        <v>124081.75569558713</v>
      </c>
      <c r="G30" s="93">
        <f t="shared" si="0"/>
        <v>1.2311586250786788E-2</v>
      </c>
      <c r="H30" s="7"/>
    </row>
    <row r="31" spans="1:9">
      <c r="B31" s="103" t="s">
        <v>71</v>
      </c>
      <c r="C31" s="65">
        <f t="shared" si="1"/>
        <v>55000</v>
      </c>
      <c r="D31" s="65">
        <f>SUM(('3. Population-NSIP#'!C10*'6. III B'!$H$19),0)</f>
        <v>67463.914911179047</v>
      </c>
      <c r="E31" s="65">
        <f>SUM(('3. Population-NSIP#'!E10*'6. III B'!$H$20),0)</f>
        <v>197813.94022101496</v>
      </c>
      <c r="F31" s="66">
        <f t="shared" si="2"/>
        <v>320277.855132194</v>
      </c>
      <c r="G31" s="93">
        <f t="shared" si="0"/>
        <v>3.177847069919592E-2</v>
      </c>
      <c r="H31" s="7"/>
    </row>
    <row r="32" spans="1:9">
      <c r="B32" s="103" t="s">
        <v>65</v>
      </c>
      <c r="C32" s="65">
        <f t="shared" si="1"/>
        <v>55000</v>
      </c>
      <c r="D32" s="65">
        <f>SUM(('3. Population-NSIP#'!C11*'6. III B'!$H$19),0)</f>
        <v>21816.097001241298</v>
      </c>
      <c r="E32" s="65">
        <f>SUM(('3. Population-NSIP#'!E11*'6. III B'!$H$20),0)</f>
        <v>847334.46489430161</v>
      </c>
      <c r="F32" s="66">
        <f t="shared" si="2"/>
        <v>924150.56189554289</v>
      </c>
      <c r="G32" s="93">
        <f t="shared" si="0"/>
        <v>9.1695667003643885E-2</v>
      </c>
      <c r="H32" s="7"/>
    </row>
    <row r="33" spans="1:8">
      <c r="B33" s="103" t="s">
        <v>221</v>
      </c>
      <c r="C33" s="65">
        <f t="shared" si="1"/>
        <v>55000</v>
      </c>
      <c r="D33" s="65">
        <f>SUM(('3. Population-NSIP#'!C12*'6. III B'!$H$19),0)</f>
        <v>2066.5571381020868</v>
      </c>
      <c r="E33" s="65">
        <f>SUM(('3. Population-NSIP#'!E12*'6. III B'!$H$20),0)</f>
        <v>1312468.6462309817</v>
      </c>
      <c r="F33" s="66">
        <f t="shared" si="2"/>
        <v>1369535.2033690838</v>
      </c>
      <c r="G33" s="93">
        <f t="shared" si="0"/>
        <v>0.13588742910064217</v>
      </c>
      <c r="H33" s="7"/>
    </row>
    <row r="34" spans="1:8">
      <c r="B34" s="103" t="s">
        <v>75</v>
      </c>
      <c r="C34" s="65">
        <f t="shared" si="1"/>
        <v>55000</v>
      </c>
      <c r="D34" s="65">
        <f>SUM(('3. Population-NSIP#'!C13*'6. III B'!$H$19),0)</f>
        <v>47375.714583117377</v>
      </c>
      <c r="E34" s="65">
        <f>SUM(('3. Population-NSIP#'!E13*'6. III B'!$H$20),0)</f>
        <v>69089.335182220413</v>
      </c>
      <c r="F34" s="66">
        <f t="shared" si="2"/>
        <v>171465.04976533778</v>
      </c>
      <c r="G34" s="93">
        <f t="shared" si="0"/>
        <v>1.70130309435691E-2</v>
      </c>
      <c r="H34" s="7"/>
    </row>
    <row r="35" spans="1:8">
      <c r="B35" s="103" t="s">
        <v>59</v>
      </c>
      <c r="C35" s="65">
        <f t="shared" si="1"/>
        <v>55000</v>
      </c>
      <c r="D35" s="65">
        <f>SUM(('3. Population-NSIP#'!C14*'6. III B'!$H$19),0)</f>
        <v>21899.899654488239</v>
      </c>
      <c r="E35" s="65">
        <f>SUM(('3. Population-NSIP#'!E14*'6. III B'!$H$20),0)</f>
        <v>1207561.0471099303</v>
      </c>
      <c r="F35" s="66">
        <f t="shared" si="2"/>
        <v>1284460.9467644186</v>
      </c>
      <c r="G35" s="93">
        <f t="shared" si="0"/>
        <v>0.12744622803898478</v>
      </c>
      <c r="H35" s="7"/>
    </row>
    <row r="36" spans="1:8">
      <c r="B36" s="103" t="s">
        <v>64</v>
      </c>
      <c r="C36" s="65">
        <f t="shared" si="1"/>
        <v>55000</v>
      </c>
      <c r="D36" s="65">
        <f>SUM(('3. Population-NSIP#'!C15*'6. III B'!$H$19),0)</f>
        <v>18906.338552767764</v>
      </c>
      <c r="E36" s="65">
        <f>SUM(('3. Population-NSIP#'!E15*'6. III B'!$H$20),0)</f>
        <v>606905.85334941943</v>
      </c>
      <c r="F36" s="66">
        <f t="shared" si="2"/>
        <v>680812.19190218719</v>
      </c>
      <c r="G36" s="93">
        <f t="shared" si="0"/>
        <v>6.7551252593124611E-2</v>
      </c>
      <c r="H36" s="7"/>
    </row>
    <row r="37" spans="1:8">
      <c r="B37" s="103" t="s">
        <v>68</v>
      </c>
      <c r="C37" s="65">
        <f t="shared" si="1"/>
        <v>55000</v>
      </c>
      <c r="D37" s="65">
        <f>SUM(('3. Population-NSIP#'!C16*'6. III B'!$H$19),0)</f>
        <v>21193.686214690268</v>
      </c>
      <c r="E37" s="65">
        <f>SUM(('3. Population-NSIP#'!E16*'6. III B'!$H$20),0)</f>
        <v>834353.33656650782</v>
      </c>
      <c r="F37" s="66">
        <f t="shared" si="2"/>
        <v>910547.02278119815</v>
      </c>
      <c r="G37" s="93">
        <f t="shared" si="0"/>
        <v>9.0345902534376604E-2</v>
      </c>
      <c r="H37" s="7"/>
    </row>
    <row r="38" spans="1:8">
      <c r="B38" s="103" t="s">
        <v>67</v>
      </c>
      <c r="C38" s="65">
        <f t="shared" si="1"/>
        <v>55000</v>
      </c>
      <c r="D38" s="65">
        <f>SUM(('3. Population-NSIP#'!C17*'6. III B'!$H$19),0)</f>
        <v>15445.897489218709</v>
      </c>
      <c r="E38" s="65">
        <f>SUM(('3. Population-NSIP#'!E17*'6. III B'!$H$20),0)</f>
        <v>273068.15756918641</v>
      </c>
      <c r="F38" s="66">
        <f t="shared" si="2"/>
        <v>343514.05505840515</v>
      </c>
      <c r="G38" s="93">
        <f t="shared" si="0"/>
        <v>3.4084002869726356E-2</v>
      </c>
      <c r="H38" s="7"/>
    </row>
    <row r="39" spans="1:8">
      <c r="B39" s="103" t="s">
        <v>63</v>
      </c>
      <c r="C39" s="65">
        <f t="shared" si="1"/>
        <v>55000</v>
      </c>
      <c r="D39" s="65">
        <f>SUM(('3. Population-NSIP#'!C18*'6. III B'!$H$19),0)</f>
        <v>3470.1198148102808</v>
      </c>
      <c r="E39" s="65">
        <f>SUM(('3. Population-NSIP#'!E18*'6. III B'!$H$20),0)</f>
        <v>999357.80115962005</v>
      </c>
      <c r="F39" s="66">
        <f t="shared" si="2"/>
        <v>1057827.9209744304</v>
      </c>
      <c r="G39" s="93">
        <f t="shared" si="0"/>
        <v>0.10495934405955816</v>
      </c>
      <c r="H39" s="7"/>
    </row>
    <row r="40" spans="1:8" s="1" customFormat="1">
      <c r="A40"/>
      <c r="B40" s="71" t="s">
        <v>29</v>
      </c>
      <c r="C40" s="69">
        <f>SUM(C24:C39)</f>
        <v>880000</v>
      </c>
      <c r="D40" s="69">
        <f>SUM(D24:D39)</f>
        <v>459922.99999999994</v>
      </c>
      <c r="E40" s="69">
        <f>SUM(E24:E39)</f>
        <v>8738531.0000000019</v>
      </c>
      <c r="F40" s="69">
        <f>SUM(F24:F39)</f>
        <v>10078454.000000002</v>
      </c>
      <c r="G40" s="72">
        <f>SUM(G24:G39)</f>
        <v>0.99999999999999978</v>
      </c>
      <c r="H40" s="10"/>
    </row>
    <row r="42" spans="1:8">
      <c r="A42" s="359"/>
      <c r="B42" s="359"/>
    </row>
  </sheetData>
  <sheetProtection algorithmName="SHA-512" hashValue="+lW/G43dghst2GrfRhDZP4nvuJnsxdfftMQK1k+M6FRT+fJeQMFLTXZWDIPC56JdKPrOP89tK79u8VAIsmDXxA==" saltValue="D5vAaX9WzpmRz24nCYlzaw==" spinCount="100000" sheet="1" objects="1" scenarios="1"/>
  <sortState xmlns:xlrd2="http://schemas.microsoft.com/office/spreadsheetml/2017/richdata2" ref="B24:G39">
    <sortCondition ref="B24"/>
  </sortState>
  <pageMargins left="0.75" right="0.75" top="1" bottom="0.5" header="0.25" footer="0.3"/>
  <pageSetup scale="74" orientation="landscape" horizontalDpi="1200" verticalDpi="1200" r:id="rId1"/>
  <headerFooter>
    <oddHeader>&amp;L&amp;G&amp;C&amp;"-,Bold"&amp;16 2023-2025 planning allocation
to Area Agencies on Aging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pageSetUpPr fitToPage="1"/>
  </sheetPr>
  <dimension ref="A1:I18"/>
  <sheetViews>
    <sheetView workbookViewId="0">
      <selection activeCell="F10" sqref="F10"/>
    </sheetView>
  </sheetViews>
  <sheetFormatPr defaultRowHeight="15"/>
  <cols>
    <col min="1" max="1" width="24.7109375" bestFit="1" customWidth="1" collapsed="1"/>
    <col min="2" max="2" width="12" customWidth="1" collapsed="1"/>
    <col min="6" max="6" width="15.140625" bestFit="1" customWidth="1"/>
    <col min="7" max="7" width="18.28515625" bestFit="1" customWidth="1"/>
    <col min="8" max="9" width="18.140625" bestFit="1" customWidth="1"/>
    <col min="11" max="11" width="14.85546875" bestFit="1" customWidth="1"/>
  </cols>
  <sheetData>
    <row r="1" spans="1:9">
      <c r="A1" s="2" t="s">
        <v>0</v>
      </c>
      <c r="B1" s="2" t="s">
        <v>58</v>
      </c>
      <c r="F1" t="s">
        <v>516</v>
      </c>
      <c r="G1" s="699" t="s">
        <v>521</v>
      </c>
      <c r="H1" s="699" t="s">
        <v>522</v>
      </c>
      <c r="I1" s="699" t="s">
        <v>523</v>
      </c>
    </row>
    <row r="2" spans="1:9">
      <c r="A2" s="3" t="s">
        <v>1</v>
      </c>
      <c r="B2" s="3" t="s">
        <v>59</v>
      </c>
      <c r="F2" s="700" t="s">
        <v>517</v>
      </c>
      <c r="G2" t="s">
        <v>491</v>
      </c>
      <c r="H2" t="s">
        <v>492</v>
      </c>
      <c r="I2" t="s">
        <v>493</v>
      </c>
    </row>
    <row r="3" spans="1:9">
      <c r="A3" s="3" t="s">
        <v>2</v>
      </c>
      <c r="B3" s="3" t="s">
        <v>60</v>
      </c>
      <c r="F3" s="700" t="s">
        <v>518</v>
      </c>
      <c r="G3" t="s">
        <v>481</v>
      </c>
      <c r="H3" t="s">
        <v>480</v>
      </c>
      <c r="I3" t="s">
        <v>479</v>
      </c>
    </row>
    <row r="4" spans="1:9">
      <c r="A4" s="3" t="s">
        <v>3</v>
      </c>
      <c r="B4" s="3" t="s">
        <v>61</v>
      </c>
      <c r="F4" s="700" t="s">
        <v>519</v>
      </c>
      <c r="G4" t="s">
        <v>498</v>
      </c>
      <c r="H4" t="s">
        <v>504</v>
      </c>
      <c r="I4" t="s">
        <v>510</v>
      </c>
    </row>
    <row r="5" spans="1:9">
      <c r="A5" s="3" t="s">
        <v>4</v>
      </c>
      <c r="B5" s="3" t="s">
        <v>178</v>
      </c>
      <c r="F5" s="700" t="s">
        <v>524</v>
      </c>
      <c r="G5" t="s">
        <v>499</v>
      </c>
      <c r="H5" t="s">
        <v>505</v>
      </c>
      <c r="I5" t="s">
        <v>511</v>
      </c>
    </row>
    <row r="6" spans="1:9">
      <c r="A6" s="3" t="s">
        <v>5</v>
      </c>
      <c r="B6" s="3" t="s">
        <v>63</v>
      </c>
      <c r="F6" s="700" t="s">
        <v>525</v>
      </c>
      <c r="G6" t="s">
        <v>500</v>
      </c>
      <c r="H6" t="s">
        <v>506</v>
      </c>
      <c r="I6" t="s">
        <v>512</v>
      </c>
    </row>
    <row r="7" spans="1:9">
      <c r="A7" s="3" t="s">
        <v>6</v>
      </c>
      <c r="B7" s="3" t="s">
        <v>64</v>
      </c>
      <c r="F7" s="700" t="s">
        <v>48</v>
      </c>
      <c r="G7" t="s">
        <v>501</v>
      </c>
      <c r="H7" t="s">
        <v>507</v>
      </c>
      <c r="I7" t="s">
        <v>513</v>
      </c>
    </row>
    <row r="8" spans="1:9">
      <c r="A8" s="3" t="s">
        <v>7</v>
      </c>
      <c r="B8" s="3" t="s">
        <v>65</v>
      </c>
      <c r="F8" s="700" t="s">
        <v>527</v>
      </c>
      <c r="G8" t="s">
        <v>502</v>
      </c>
      <c r="H8" t="s">
        <v>508</v>
      </c>
      <c r="I8" t="s">
        <v>514</v>
      </c>
    </row>
    <row r="9" spans="1:9">
      <c r="A9" s="3" t="s">
        <v>8</v>
      </c>
      <c r="B9" s="3" t="s">
        <v>66</v>
      </c>
      <c r="F9" s="700" t="s">
        <v>526</v>
      </c>
      <c r="G9" t="s">
        <v>503</v>
      </c>
      <c r="H9" t="s">
        <v>509</v>
      </c>
      <c r="I9" t="s">
        <v>515</v>
      </c>
    </row>
    <row r="10" spans="1:9">
      <c r="A10" s="3" t="s">
        <v>9</v>
      </c>
      <c r="B10" s="3" t="s">
        <v>67</v>
      </c>
      <c r="F10" s="700"/>
    </row>
    <row r="11" spans="1:9">
      <c r="A11" s="3" t="s">
        <v>10</v>
      </c>
      <c r="B11" s="3" t="s">
        <v>68</v>
      </c>
    </row>
    <row r="12" spans="1:9">
      <c r="A12" s="3" t="s">
        <v>11</v>
      </c>
      <c r="B12" s="3" t="s">
        <v>69</v>
      </c>
    </row>
    <row r="13" spans="1:9">
      <c r="A13" s="3" t="s">
        <v>12</v>
      </c>
      <c r="B13" s="3" t="s">
        <v>70</v>
      </c>
    </row>
    <row r="14" spans="1:9">
      <c r="A14" s="3" t="s">
        <v>13</v>
      </c>
      <c r="B14" s="3" t="s">
        <v>71</v>
      </c>
    </row>
    <row r="15" spans="1:9">
      <c r="A15" s="3" t="s">
        <v>57</v>
      </c>
      <c r="B15" s="3" t="s">
        <v>72</v>
      </c>
    </row>
    <row r="16" spans="1:9">
      <c r="A16" s="3" t="s">
        <v>14</v>
      </c>
      <c r="B16" s="3" t="s">
        <v>73</v>
      </c>
    </row>
    <row r="17" spans="1:2">
      <c r="A17" s="3" t="s">
        <v>15</v>
      </c>
      <c r="B17" s="3" t="s">
        <v>74</v>
      </c>
    </row>
    <row r="18" spans="1:2">
      <c r="A18" s="3" t="s">
        <v>16</v>
      </c>
      <c r="B18" s="3" t="s">
        <v>75</v>
      </c>
    </row>
  </sheetData>
  <pageMargins left="0.75" right="0.75" top="1.5" bottom="0.5" header="0.25" footer="0.5"/>
  <pageSetup orientation="landscape" r:id="rId1"/>
  <headerFooter alignWithMargins="0">
    <oddHeader xml:space="preserve">&amp;L&amp;G&amp;C&amp;"Arial Black,Bold"&amp;14
AAA 2019-2021 PLANNING ALLOCATION
Amendment 1
</oddHeader>
    <oddFooter>&amp;R&amp;"Century Gothic,Regular"Page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FF66"/>
    <pageSetUpPr fitToPage="1"/>
  </sheetPr>
  <dimension ref="A1:K36"/>
  <sheetViews>
    <sheetView zoomScaleNormal="100" zoomScalePageLayoutView="115" workbookViewId="0">
      <selection activeCell="J21" sqref="J21"/>
    </sheetView>
  </sheetViews>
  <sheetFormatPr defaultRowHeight="15"/>
  <cols>
    <col min="1" max="1" width="22.140625" customWidth="1" collapsed="1"/>
    <col min="2" max="2" width="34.5703125" bestFit="1" customWidth="1" collapsed="1"/>
    <col min="3" max="3" width="12.42578125" style="9" bestFit="1" customWidth="1" collapsed="1"/>
    <col min="4" max="4" width="15.42578125" style="9" customWidth="1" collapsed="1"/>
    <col min="5" max="5" width="14.28515625" style="9" bestFit="1" customWidth="1" collapsed="1"/>
    <col min="6" max="6" width="12.42578125" style="9" bestFit="1" customWidth="1" collapsed="1"/>
    <col min="7" max="7" width="10.85546875" style="9" bestFit="1" customWidth="1" collapsed="1"/>
    <col min="8" max="8" width="14.28515625" customWidth="1" collapsed="1"/>
    <col min="9" max="9" width="13.28515625" bestFit="1" customWidth="1" collapsed="1"/>
    <col min="11" max="11" width="10.42578125" bestFit="1" customWidth="1"/>
  </cols>
  <sheetData>
    <row r="1" spans="1:9" s="305" customFormat="1" ht="24" thickBot="1">
      <c r="A1" s="692" t="s">
        <v>31</v>
      </c>
      <c r="B1" s="698"/>
      <c r="C1" s="684"/>
      <c r="D1" s="684"/>
      <c r="E1" s="684"/>
      <c r="F1" s="684"/>
      <c r="G1" s="684"/>
      <c r="H1" s="685"/>
    </row>
    <row r="2" spans="1:9" s="64" customFormat="1" ht="36">
      <c r="A2" s="673" t="s">
        <v>477</v>
      </c>
      <c r="B2" s="673" t="s">
        <v>478</v>
      </c>
      <c r="C2" s="673" t="s">
        <v>22</v>
      </c>
      <c r="D2" s="673" t="s">
        <v>26</v>
      </c>
      <c r="E2" s="673" t="s">
        <v>390</v>
      </c>
      <c r="F2" s="673" t="s">
        <v>443</v>
      </c>
      <c r="G2" s="673" t="s">
        <v>444</v>
      </c>
      <c r="H2" s="673" t="s">
        <v>445</v>
      </c>
    </row>
    <row r="3" spans="1:9" ht="15.75">
      <c r="A3" s="677" t="str" cm="1">
        <f t="array" ref="A3">_xlfn.XLOOKUP($A$1,Titles,_xlfn.XLOOKUP(LEFT(B3,4),GrantYears,FAIN),"x",-1)</f>
        <v>2301OROACM</v>
      </c>
      <c r="B3" s="48" t="s">
        <v>393</v>
      </c>
      <c r="C3" s="9">
        <f>'4. Award History&amp;Projections '!C16</f>
        <v>7018393</v>
      </c>
      <c r="D3" s="6">
        <v>0.25</v>
      </c>
      <c r="E3" s="9">
        <f>ROUND(C3*D3,0)</f>
        <v>1754598</v>
      </c>
      <c r="H3" s="9">
        <f>SUM(E3:G3)</f>
        <v>1754598</v>
      </c>
    </row>
    <row r="4" spans="1:9" ht="15.75">
      <c r="A4" s="678" t="str" cm="1">
        <f t="array" ref="A4">_xlfn.XLOOKUP($A$1,Titles,_xlfn.XLOOKUP(LEFT(B4,4),GrantYears,FAIN),"x",-1)</f>
        <v>2401OROACM</v>
      </c>
      <c r="B4" s="48" t="s">
        <v>441</v>
      </c>
      <c r="C4" s="18">
        <f>'4. Award History&amp;Projections '!C17</f>
        <v>7018393</v>
      </c>
      <c r="D4" s="6">
        <v>1</v>
      </c>
      <c r="F4" s="9">
        <f>ROUND(C4*D4,0)</f>
        <v>7018393</v>
      </c>
      <c r="H4" s="9">
        <f>SUM(E4:G4)</f>
        <v>7018393</v>
      </c>
    </row>
    <row r="5" spans="1:9" ht="15.75">
      <c r="A5" s="679" t="str" cm="1">
        <f t="array" ref="A5">_xlfn.XLOOKUP($A$1,Titles,_xlfn.XLOOKUP(LEFT(B5,4),GrantYears,FAIN),"x",-1)</f>
        <v>2501OROACM</v>
      </c>
      <c r="B5" s="48" t="s">
        <v>442</v>
      </c>
      <c r="C5" s="18">
        <f>'4. Award History&amp;Projections '!C18</f>
        <v>7018393</v>
      </c>
      <c r="D5" s="6">
        <v>0.75</v>
      </c>
      <c r="E5" s="8"/>
      <c r="F5" s="8"/>
      <c r="G5" s="8">
        <f>ROUND(C5*D5,0)</f>
        <v>5263795</v>
      </c>
      <c r="H5" s="8">
        <f>SUM(E5:G5)</f>
        <v>5263795</v>
      </c>
    </row>
    <row r="6" spans="1:9">
      <c r="A6" s="190"/>
      <c r="B6" s="48" t="s">
        <v>23</v>
      </c>
      <c r="E6" s="9">
        <f>SUM(E3:E5)</f>
        <v>1754598</v>
      </c>
      <c r="F6" s="9">
        <f>SUM(F3:F5)</f>
        <v>7018393</v>
      </c>
      <c r="G6" s="9">
        <f>SUM(G3:G5)</f>
        <v>5263795</v>
      </c>
      <c r="H6" s="9">
        <f>SUM(H3:H5)</f>
        <v>14036786</v>
      </c>
    </row>
    <row r="7" spans="1:9">
      <c r="A7" s="190"/>
      <c r="B7" s="48" t="s">
        <v>24</v>
      </c>
      <c r="D7" s="5">
        <v>0.05</v>
      </c>
      <c r="E7" s="8">
        <f>ROUND($D$7*-E6,0)</f>
        <v>-87730</v>
      </c>
      <c r="F7" s="8">
        <f>ROUND($D$7*-F6,0)</f>
        <v>-350920</v>
      </c>
      <c r="G7" s="8">
        <f>ROUND($D$7*-G6,0)</f>
        <v>-263190</v>
      </c>
      <c r="H7" s="8">
        <f>SUM(E7:G7)</f>
        <v>-701840</v>
      </c>
    </row>
    <row r="8" spans="1:9">
      <c r="A8" s="190"/>
      <c r="B8" s="48" t="s">
        <v>23</v>
      </c>
      <c r="E8" s="9">
        <f>SUM(E6:E7)</f>
        <v>1666868</v>
      </c>
      <c r="F8" s="9">
        <f>SUM(F6:F7)</f>
        <v>6667473</v>
      </c>
      <c r="G8" s="9">
        <f>SUM(G6:G7)</f>
        <v>5000605</v>
      </c>
      <c r="H8" s="9">
        <f>SUM(H6:H7)</f>
        <v>13334946</v>
      </c>
    </row>
    <row r="9" spans="1:9" s="40" customFormat="1">
      <c r="A9" s="74"/>
      <c r="B9" s="74"/>
      <c r="C9" s="38"/>
      <c r="D9" s="39"/>
      <c r="E9" s="41"/>
      <c r="F9" s="41"/>
      <c r="G9" s="41"/>
      <c r="H9" s="41"/>
    </row>
    <row r="10" spans="1:9" s="15" customFormat="1">
      <c r="A10" s="143"/>
      <c r="B10" s="15" t="s">
        <v>35</v>
      </c>
      <c r="C10" s="9"/>
      <c r="D10" s="9"/>
      <c r="E10" s="17"/>
      <c r="F10" s="17"/>
      <c r="G10" s="17"/>
      <c r="H10" s="17">
        <v>0</v>
      </c>
    </row>
    <row r="11" spans="1:9" s="1" customFormat="1" ht="15.75" thickBot="1">
      <c r="A11" s="46"/>
      <c r="B11" s="46" t="s">
        <v>29</v>
      </c>
      <c r="C11" s="10"/>
      <c r="D11" s="10"/>
      <c r="E11" s="14"/>
      <c r="F11" s="14"/>
      <c r="G11" s="14"/>
      <c r="H11" s="11">
        <f>H8</f>
        <v>13334946</v>
      </c>
    </row>
    <row r="12" spans="1:9" s="588" customFormat="1" ht="15.75" thickTop="1">
      <c r="A12" s="83"/>
      <c r="B12" s="83"/>
      <c r="C12" s="81"/>
      <c r="D12" s="81"/>
      <c r="E12" s="82"/>
      <c r="F12" s="82"/>
      <c r="G12" s="82"/>
      <c r="H12" s="82"/>
    </row>
    <row r="13" spans="1:9">
      <c r="A13" s="63"/>
      <c r="B13" s="63" t="s">
        <v>144</v>
      </c>
      <c r="H13" s="9"/>
    </row>
    <row r="14" spans="1:9">
      <c r="A14" s="503"/>
      <c r="B14" s="503" t="s">
        <v>36</v>
      </c>
      <c r="C14" s="9">
        <f>'4. Award History&amp;Projections '!C19</f>
        <v>20000</v>
      </c>
      <c r="D14" s="9">
        <v>16</v>
      </c>
      <c r="H14" s="9">
        <f>C14*D14</f>
        <v>320000</v>
      </c>
      <c r="I14" s="12"/>
    </row>
    <row r="15" spans="1:9">
      <c r="A15" s="190"/>
      <c r="B15" s="48" t="s">
        <v>28</v>
      </c>
      <c r="D15" s="5">
        <v>0</v>
      </c>
      <c r="H15" s="9">
        <f>ROUND((H11-H14)*D15,0)</f>
        <v>0</v>
      </c>
    </row>
    <row r="16" spans="1:9">
      <c r="A16" s="190"/>
      <c r="B16" s="48" t="s">
        <v>37</v>
      </c>
      <c r="D16" s="5">
        <v>1</v>
      </c>
      <c r="H16" s="9">
        <f>H11-H14-H15</f>
        <v>13014946</v>
      </c>
    </row>
    <row r="17" spans="1:8" s="1" customFormat="1" ht="15.75" thickBot="1">
      <c r="A17" s="46"/>
      <c r="B17" s="46" t="s">
        <v>29</v>
      </c>
      <c r="C17" s="10"/>
      <c r="D17" s="10"/>
      <c r="E17" s="10"/>
      <c r="F17" s="10"/>
      <c r="G17" s="10"/>
      <c r="H17" s="11">
        <f>SUM(H14:H16)</f>
        <v>13334946</v>
      </c>
    </row>
    <row r="18" spans="1:8" s="152" customFormat="1" ht="6.75" customHeight="1" thickTop="1">
      <c r="A18" s="77"/>
      <c r="B18" s="77"/>
      <c r="C18" s="78"/>
      <c r="D18" s="78"/>
      <c r="E18" s="78"/>
      <c r="F18" s="78"/>
      <c r="G18" s="78"/>
      <c r="H18" s="77"/>
    </row>
    <row r="19" spans="1:8" s="64" customFormat="1" ht="72">
      <c r="A19"/>
      <c r="B19" s="154" t="s">
        <v>58</v>
      </c>
      <c r="C19" s="621" t="s">
        <v>36</v>
      </c>
      <c r="D19" s="84" t="s">
        <v>203</v>
      </c>
      <c r="E19" s="84" t="s">
        <v>427</v>
      </c>
      <c r="F19" s="85" t="s">
        <v>214</v>
      </c>
    </row>
    <row r="20" spans="1:8">
      <c r="B20" s="103" t="s">
        <v>72</v>
      </c>
      <c r="C20" s="504">
        <f>$C$14</f>
        <v>20000</v>
      </c>
      <c r="D20" s="68">
        <f>ROUND(('3. Population-NSIP#'!E3*$H$16),0)</f>
        <v>455842</v>
      </c>
      <c r="E20" s="75">
        <f>ROUND(C20+D20,0)</f>
        <v>475842</v>
      </c>
      <c r="F20" s="93">
        <f>E20/$E$36</f>
        <v>3.5683834040272831E-2</v>
      </c>
    </row>
    <row r="21" spans="1:8">
      <c r="B21" s="103" t="s">
        <v>61</v>
      </c>
      <c r="C21" s="504">
        <f t="shared" ref="C21:C35" si="0">$C$14</f>
        <v>20000</v>
      </c>
      <c r="D21" s="68">
        <f>ROUND(('3. Population-NSIP#'!E4*$H$16),0)</f>
        <v>170534</v>
      </c>
      <c r="E21" s="75">
        <f t="shared" ref="E21:E35" si="1">ROUND(C21+D21,0)</f>
        <v>190534</v>
      </c>
      <c r="F21" s="93">
        <f t="shared" ref="F21:F35" si="2">E21/$E$36</f>
        <v>1.4288321827474967E-2</v>
      </c>
    </row>
    <row r="22" spans="1:8">
      <c r="B22" s="103" t="s">
        <v>73</v>
      </c>
      <c r="C22" s="504">
        <f t="shared" si="0"/>
        <v>20000</v>
      </c>
      <c r="D22" s="68">
        <f>ROUND(('3. Population-NSIP#'!E5*$H$16),0)</f>
        <v>246893</v>
      </c>
      <c r="E22" s="75">
        <f t="shared" si="1"/>
        <v>266893</v>
      </c>
      <c r="F22" s="93">
        <f t="shared" si="2"/>
        <v>2.0014554239664712E-2</v>
      </c>
    </row>
    <row r="23" spans="1:8">
      <c r="B23" s="103" t="s">
        <v>60</v>
      </c>
      <c r="C23" s="504">
        <f t="shared" si="0"/>
        <v>20000</v>
      </c>
      <c r="D23" s="68">
        <f>ROUND(('3. Population-NSIP#'!E6*$H$16),0)</f>
        <v>1364250</v>
      </c>
      <c r="E23" s="75">
        <f t="shared" si="1"/>
        <v>1384250</v>
      </c>
      <c r="F23" s="93">
        <f t="shared" si="2"/>
        <v>0.1038061946407582</v>
      </c>
    </row>
    <row r="24" spans="1:8">
      <c r="B24" s="103" t="s">
        <v>541</v>
      </c>
      <c r="C24" s="504">
        <f t="shared" si="0"/>
        <v>20000</v>
      </c>
      <c r="D24" s="68">
        <f>ROUND(('3. Population-NSIP#'!E7*$H$16),0)</f>
        <v>794502</v>
      </c>
      <c r="E24" s="75">
        <f t="shared" si="1"/>
        <v>814502</v>
      </c>
      <c r="F24" s="93">
        <f t="shared" si="2"/>
        <v>6.1080262342269702E-2</v>
      </c>
    </row>
    <row r="25" spans="1:8">
      <c r="B25" s="103" t="s">
        <v>169</v>
      </c>
      <c r="C25" s="504">
        <f t="shared" si="0"/>
        <v>20000</v>
      </c>
      <c r="D25" s="68">
        <f>ROUND(('3. Population-NSIP#'!E8*$H$16),0)</f>
        <v>497870</v>
      </c>
      <c r="E25" s="75">
        <f t="shared" si="1"/>
        <v>517870</v>
      </c>
      <c r="F25" s="93">
        <f t="shared" si="2"/>
        <v>3.8835552839884019E-2</v>
      </c>
    </row>
    <row r="26" spans="1:8">
      <c r="B26" s="103" t="s">
        <v>74</v>
      </c>
      <c r="C26" s="504">
        <f t="shared" si="0"/>
        <v>20000</v>
      </c>
      <c r="D26" s="68">
        <f>ROUND(('3. Population-NSIP#'!E9*$H$16),0)</f>
        <v>30575</v>
      </c>
      <c r="E26" s="75">
        <f t="shared" si="1"/>
        <v>50575</v>
      </c>
      <c r="F26" s="93">
        <f t="shared" si="2"/>
        <v>3.7926662770137952E-3</v>
      </c>
    </row>
    <row r="27" spans="1:8">
      <c r="B27" s="103" t="s">
        <v>71</v>
      </c>
      <c r="C27" s="504">
        <f t="shared" si="0"/>
        <v>20000</v>
      </c>
      <c r="D27" s="68">
        <f>ROUND(('3. Population-NSIP#'!E10*$H$16),0)</f>
        <v>294619</v>
      </c>
      <c r="E27" s="75">
        <f t="shared" si="1"/>
        <v>314619</v>
      </c>
      <c r="F27" s="93">
        <f t="shared" si="2"/>
        <v>2.3593571357544304E-2</v>
      </c>
    </row>
    <row r="28" spans="1:8">
      <c r="B28" s="103" t="s">
        <v>65</v>
      </c>
      <c r="C28" s="504">
        <f t="shared" si="0"/>
        <v>20000</v>
      </c>
      <c r="D28" s="68">
        <f>ROUND(('3. Population-NSIP#'!E11*$H$16),0)</f>
        <v>1261998</v>
      </c>
      <c r="E28" s="75">
        <f t="shared" si="1"/>
        <v>1281998</v>
      </c>
      <c r="F28" s="93">
        <f t="shared" si="2"/>
        <v>9.6138222082039176E-2</v>
      </c>
    </row>
    <row r="29" spans="1:8">
      <c r="B29" s="103" t="s">
        <v>221</v>
      </c>
      <c r="C29" s="504">
        <f t="shared" si="0"/>
        <v>20000</v>
      </c>
      <c r="D29" s="68">
        <f>ROUND(('3. Population-NSIP#'!E12*$H$16),0)+1</f>
        <v>1954758</v>
      </c>
      <c r="E29" s="75">
        <f t="shared" si="1"/>
        <v>1974758</v>
      </c>
      <c r="F29" s="93">
        <f t="shared" si="2"/>
        <v>0.14808893864287115</v>
      </c>
    </row>
    <row r="30" spans="1:8">
      <c r="B30" s="103" t="s">
        <v>75</v>
      </c>
      <c r="C30" s="504">
        <f t="shared" si="0"/>
        <v>20000</v>
      </c>
      <c r="D30" s="68">
        <f>ROUND(('3. Population-NSIP#'!E13*$H$16),0)</f>
        <v>102900</v>
      </c>
      <c r="E30" s="75">
        <f t="shared" si="1"/>
        <v>122900</v>
      </c>
      <c r="F30" s="93">
        <f t="shared" si="2"/>
        <v>9.216385278200602E-3</v>
      </c>
    </row>
    <row r="31" spans="1:8">
      <c r="B31" s="103" t="s">
        <v>59</v>
      </c>
      <c r="C31" s="504">
        <f t="shared" si="0"/>
        <v>20000</v>
      </c>
      <c r="D31" s="68">
        <f>ROUND(('3. Population-NSIP#'!E14*$H$16),0)</f>
        <v>1798511</v>
      </c>
      <c r="E31" s="75">
        <f t="shared" si="1"/>
        <v>1818511</v>
      </c>
      <c r="F31" s="93">
        <f t="shared" si="2"/>
        <v>0.13637183082706147</v>
      </c>
    </row>
    <row r="32" spans="1:8">
      <c r="B32" s="103" t="s">
        <v>64</v>
      </c>
      <c r="C32" s="504">
        <f t="shared" si="0"/>
        <v>20000</v>
      </c>
      <c r="D32" s="68">
        <f>ROUND(('3. Population-NSIP#'!E15*$H$16),0)</f>
        <v>903910</v>
      </c>
      <c r="E32" s="75">
        <f t="shared" si="1"/>
        <v>923910</v>
      </c>
      <c r="F32" s="93">
        <f t="shared" si="2"/>
        <v>6.9284869994974102E-2</v>
      </c>
    </row>
    <row r="33" spans="1:11">
      <c r="B33" s="103" t="s">
        <v>68</v>
      </c>
      <c r="C33" s="504">
        <f t="shared" si="0"/>
        <v>20000</v>
      </c>
      <c r="D33" s="68">
        <f>ROUND(('3. Population-NSIP#'!E16*$H$16),0)</f>
        <v>1242665</v>
      </c>
      <c r="E33" s="75">
        <f t="shared" si="1"/>
        <v>1262665</v>
      </c>
      <c r="F33" s="93">
        <f t="shared" si="2"/>
        <v>9.4688422435306452E-2</v>
      </c>
    </row>
    <row r="34" spans="1:11">
      <c r="B34" s="103" t="s">
        <v>67</v>
      </c>
      <c r="C34" s="504">
        <f t="shared" si="0"/>
        <v>20000</v>
      </c>
      <c r="D34" s="68">
        <f>ROUND(('3. Population-NSIP#'!E17*$H$16),0)</f>
        <v>406701</v>
      </c>
      <c r="E34" s="75">
        <f t="shared" si="1"/>
        <v>426701</v>
      </c>
      <c r="F34" s="93">
        <f t="shared" si="2"/>
        <v>3.1998704756659682E-2</v>
      </c>
    </row>
    <row r="35" spans="1:11">
      <c r="B35" s="103" t="s">
        <v>63</v>
      </c>
      <c r="C35" s="504">
        <f t="shared" si="0"/>
        <v>20000</v>
      </c>
      <c r="D35" s="68">
        <f>ROUND(('3. Population-NSIP#'!E18*$H$16),0)</f>
        <v>1488418</v>
      </c>
      <c r="E35" s="75">
        <f t="shared" si="1"/>
        <v>1508418</v>
      </c>
      <c r="F35" s="93">
        <f t="shared" si="2"/>
        <v>0.11311766841800484</v>
      </c>
    </row>
    <row r="36" spans="1:11" s="1" customFormat="1">
      <c r="A36"/>
      <c r="B36" s="71" t="s">
        <v>29</v>
      </c>
      <c r="C36" s="69">
        <f>SUM(C20:C35)</f>
        <v>320000</v>
      </c>
      <c r="D36" s="69">
        <f>SUM(D20:D35)</f>
        <v>13014946</v>
      </c>
      <c r="E36" s="67">
        <f>SUM(E20:E35)</f>
        <v>13334946</v>
      </c>
      <c r="F36" s="73">
        <f>SUM(F20:F35)</f>
        <v>1</v>
      </c>
      <c r="I36" s="197"/>
      <c r="K36" s="197"/>
    </row>
  </sheetData>
  <sheetProtection algorithmName="SHA-512" hashValue="fWgPDIj5ZHb0tc3wC/Frf4nIDB98ezHutzQvwvrCfDioId9BdNG3dmncWKZsdDV0FtfR8sA14DbyZIasZFsg/w==" saltValue="P9c98bKZGcysLX6Vxnb9KA==" spinCount="100000" sheet="1" objects="1" scenarios="1"/>
  <sortState xmlns:xlrd2="http://schemas.microsoft.com/office/spreadsheetml/2017/richdata2" ref="B20:I35">
    <sortCondition ref="B20"/>
  </sortState>
  <pageMargins left="0.75" right="0.75" top="1" bottom="0.5" header="0.25" footer="0.3"/>
  <pageSetup scale="83" orientation="landscape" horizontalDpi="1200" verticalDpi="1200" r:id="rId1"/>
  <headerFooter>
    <oddHeader>&amp;L&amp;G&amp;C&amp;"-,Bold"&amp;16 2023-2025 planning allocation
to Area Agencies on Aging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57793A573FA24A999BFD6F01BF9242" ma:contentTypeVersion="8" ma:contentTypeDescription="Create a new document." ma:contentTypeScope="" ma:versionID="d457d0ba8a5f1d375aa3a6f5d1e85597">
  <xsd:schema xmlns:xsd="http://www.w3.org/2001/XMLSchema" xmlns:xs="http://www.w3.org/2001/XMLSchema" xmlns:p="http://schemas.microsoft.com/office/2006/metadata/properties" xmlns:ns1="http://schemas.microsoft.com/sharepoint/v3" xmlns:ns2="b5921b60-9b2e-4daa-8c80-faaf819f1b87" xmlns:ns3="49e1b1f5-4598-4f10-9cb7-32cc96214367" targetNamespace="http://schemas.microsoft.com/office/2006/metadata/properties" ma:root="true" ma:fieldsID="74b9b3db076000fc769f219e2bd4e878" ns1:_="" ns2:_="" ns3:_="">
    <xsd:import namespace="http://schemas.microsoft.com/sharepoint/v3"/>
    <xsd:import namespace="b5921b60-9b2e-4daa-8c80-faaf819f1b87"/>
    <xsd:import namespace="49e1b1f5-4598-4f10-9cb7-32cc96214367"/>
    <xsd:element name="properties">
      <xsd:complexType>
        <xsd:sequence>
          <xsd:element name="documentManagement">
            <xsd:complexType>
              <xsd:all>
                <xsd:element ref="ns1:PublishingStartDate" minOccurs="0"/>
                <xsd:element ref="ns1:PublishingExpirationDate" minOccurs="0"/>
                <xsd:element ref="ns2:Category" minOccurs="0"/>
                <xsd:element ref="ns2:Subcategory" minOccurs="0"/>
                <xsd:element ref="ns3:SharedWithUsers" minOccurs="0"/>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921b60-9b2e-4daa-8c80-faaf819f1b87" elementFormDefault="qualified">
    <xsd:import namespace="http://schemas.microsoft.com/office/2006/documentManagement/types"/>
    <xsd:import namespace="http://schemas.microsoft.com/office/infopath/2007/PartnerControls"/>
    <xsd:element name="Category" ma:index="7" nillable="true" ma:displayName="Category" ma:format="Dropdown" ma:internalName="Category" ma:readOnly="false">
      <xsd:simpleType>
        <xsd:restriction base="dms:Choice">
          <xsd:enumeration value="Area Plans"/>
          <xsd:enumeration value="Family Caregiver"/>
          <xsd:enumeration value="Gatekeeper"/>
          <xsd:enumeration value="Grant Award Letters"/>
          <xsd:enumeration value="Healthy Aging"/>
          <xsd:enumeration value="Legal"/>
          <xsd:enumeration value="Nutrition"/>
          <xsd:enumeration value="OPI"/>
          <xsd:enumeration value="Power Hour"/>
        </xsd:restriction>
      </xsd:simpleType>
    </xsd:element>
    <xsd:element name="Subcategory" ma:index="8" nillable="true" ma:displayName="Subcategory" ma:description="Use only with Category=Grant Awards" ma:format="Dropdown" ma:internalName="Subcategory" ma:readOnly="false">
      <xsd:simpleType>
        <xsd:restriction base="dms:Choice">
          <xsd:enumeration value="NSIP"/>
          <xsd:enumeration value="Special/Disaster"/>
          <xsd:enumeration value="Title III"/>
          <xsd:enumeration value="Title VII"/>
        </xsd:restriction>
      </xsd:simpleType>
    </xsd:element>
    <xsd:element name="Date" ma:index="10" nillable="true" ma:displayName="Date" ma:description="Use when Category=Grant Award Letter" ma:format="DateOnly" ma:internalNam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9e1b1f5-4598-4f10-9cb7-32cc96214367"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ubcategory xmlns="b5921b60-9b2e-4daa-8c80-faaf819f1b87" xsi:nil="true"/>
    <PublishingExpirationDate xmlns="http://schemas.microsoft.com/sharepoint/v3" xsi:nil="true"/>
    <PublishingStartDate xmlns="http://schemas.microsoft.com/sharepoint/v3" xsi:nil="true"/>
    <Category xmlns="b5921b60-9b2e-4daa-8c80-faaf819f1b87" xsi:nil="true"/>
    <Date xmlns="b5921b60-9b2e-4daa-8c80-faaf819f1b87" xsi:nil="true"/>
  </documentManagement>
</p:properties>
</file>

<file path=customXml/itemProps1.xml><?xml version="1.0" encoding="utf-8"?>
<ds:datastoreItem xmlns:ds="http://schemas.openxmlformats.org/officeDocument/2006/customXml" ds:itemID="{70FB2FAC-D4D6-4D73-A6AD-497665FD4602}"/>
</file>

<file path=customXml/itemProps2.xml><?xml version="1.0" encoding="utf-8"?>
<ds:datastoreItem xmlns:ds="http://schemas.openxmlformats.org/officeDocument/2006/customXml" ds:itemID="{B08EB1B7-7954-4680-8855-680D9C50BD88}"/>
</file>

<file path=customXml/itemProps3.xml><?xml version="1.0" encoding="utf-8"?>
<ds:datastoreItem xmlns:ds="http://schemas.openxmlformats.org/officeDocument/2006/customXml" ds:itemID="{AB60CD5E-87E6-42AD-9465-29A9A0B0450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30</vt:i4>
      </vt:variant>
    </vt:vector>
  </HeadingPairs>
  <TitlesOfParts>
    <vt:vector size="58" baseType="lpstr">
      <vt:lpstr>Instructions</vt:lpstr>
      <vt:lpstr>Index</vt:lpstr>
      <vt:lpstr>3. Population-NSIP#</vt:lpstr>
      <vt:lpstr>4. Award History&amp;Projections </vt:lpstr>
      <vt:lpstr>5. Alloc Summary</vt:lpstr>
      <vt:lpstr>Base</vt:lpstr>
      <vt:lpstr>6. III B</vt:lpstr>
      <vt:lpstr>District AAA crosswalk</vt:lpstr>
      <vt:lpstr>7. III C-1</vt:lpstr>
      <vt:lpstr>8. III C-2</vt:lpstr>
      <vt:lpstr>9. III D</vt:lpstr>
      <vt:lpstr>10. III E</vt:lpstr>
      <vt:lpstr>VII A</vt:lpstr>
      <vt:lpstr>VII A-LTCO</vt:lpstr>
      <vt:lpstr>11. VII B</vt:lpstr>
      <vt:lpstr>12. 21-23 Unspent</vt:lpstr>
      <vt:lpstr>21-23 Unspent-COVID</vt:lpstr>
      <vt:lpstr>13. NSIP</vt:lpstr>
      <vt:lpstr>NSIP-19-21 Unspent</vt:lpstr>
      <vt:lpstr>15. SPA - EB</vt:lpstr>
      <vt:lpstr>No wrong door</vt:lpstr>
      <vt:lpstr>14. SPA-Seq Mit.</vt:lpstr>
      <vt:lpstr>16. OPI 60+</vt:lpstr>
      <vt:lpstr>17. OPI 19-59</vt:lpstr>
      <vt:lpstr>PopulationData</vt:lpstr>
      <vt:lpstr>Popul-ADRC sorted</vt:lpstr>
      <vt:lpstr>Source Information</vt:lpstr>
      <vt:lpstr>Land per square</vt:lpstr>
      <vt:lpstr>'Popul-ADRC sorted'!_FilterDatabase</vt:lpstr>
      <vt:lpstr>FAIN</vt:lpstr>
      <vt:lpstr>GrantYears</vt:lpstr>
      <vt:lpstr>'10. III E'!Print_Area</vt:lpstr>
      <vt:lpstr>'11. VII B'!Print_Area</vt:lpstr>
      <vt:lpstr>'12. 21-23 Unspent'!Print_Area</vt:lpstr>
      <vt:lpstr>'13. NSIP'!Print_Area</vt:lpstr>
      <vt:lpstr>'14. SPA-Seq Mit.'!Print_Area</vt:lpstr>
      <vt:lpstr>'15. SPA - EB'!Print_Area</vt:lpstr>
      <vt:lpstr>'16. OPI 60+'!Print_Area</vt:lpstr>
      <vt:lpstr>'17. OPI 19-59'!Print_Area</vt:lpstr>
      <vt:lpstr>'21-23 Unspent-COVID'!Print_Area</vt:lpstr>
      <vt:lpstr>'3. Population-NSIP#'!Print_Area</vt:lpstr>
      <vt:lpstr>'4. Award History&amp;Projections '!Print_Area</vt:lpstr>
      <vt:lpstr>'5. Alloc Summary'!Print_Area</vt:lpstr>
      <vt:lpstr>'6. III B'!Print_Area</vt:lpstr>
      <vt:lpstr>'7. III C-1'!Print_Area</vt:lpstr>
      <vt:lpstr>'8. III C-2'!Print_Area</vt:lpstr>
      <vt:lpstr>'9. III D'!Print_Area</vt:lpstr>
      <vt:lpstr>'District AAA crosswalk'!Print_Area</vt:lpstr>
      <vt:lpstr>Instructions!Print_Area</vt:lpstr>
      <vt:lpstr>'No wrong door'!Print_Area</vt:lpstr>
      <vt:lpstr>'NSIP-19-21 Unspent'!Print_Area</vt:lpstr>
      <vt:lpstr>'Popul-ADRC sorted'!Print_Area</vt:lpstr>
      <vt:lpstr>PopulationData!Print_Area</vt:lpstr>
      <vt:lpstr>'Source Information'!Print_Area</vt:lpstr>
      <vt:lpstr>'VII A'!Print_Area</vt:lpstr>
      <vt:lpstr>'VII A-LTCO'!Print_Area</vt:lpstr>
      <vt:lpstr>PopulationData!Print_Titles</vt:lpstr>
      <vt:lpstr>Titles</vt:lpstr>
    </vt:vector>
  </TitlesOfParts>
  <Company>Oregon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23-25 OAA Planning Allocation</dc:title>
  <dc:creator>BUEDEFELDT Rhonda</dc:creator>
  <cp:lastModifiedBy>Woodcock Sara D</cp:lastModifiedBy>
  <cp:lastPrinted>2025-04-10T20:43:37Z</cp:lastPrinted>
  <dcterms:created xsi:type="dcterms:W3CDTF">2013-09-24T20:41:01Z</dcterms:created>
  <dcterms:modified xsi:type="dcterms:W3CDTF">2025-04-17T19:43:10Z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2024-10-14T23:14:26Z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dd9dc0cd-2df3-4dd3-a26f-13b77facd47f</vt:lpwstr>
  </property>
  <property fmtid="{D5CDD505-2E9C-101B-9397-08002B2CF9AE}" pid="8" name="MSIP_Label_ebdd6eeb-0dd0-4927-947e-a759f08fcf55_ContentBits">
    <vt:lpwstr>0</vt:lpwstr>
  </property>
  <property fmtid="{D5CDD505-2E9C-101B-9397-08002B2CF9AE}" pid="9" name="ContentTypeId">
    <vt:lpwstr>0x0101003C57793A573FA24A999BFD6F01BF9242</vt:lpwstr>
  </property>
</Properties>
</file>