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5BC08A94-4AEA-4FAA-84A1-1F0DCE9C88E2}" xr6:coauthVersionLast="47" xr6:coauthVersionMax="47" xr10:uidLastSave="{00000000-0000-0000-0000-000000000000}"/>
  <bookViews>
    <workbookView xWindow="-110" yWindow="-110" windowWidth="22780" windowHeight="14540" xr2:uid="{4D74E187-0A21-44CC-8AC6-594BF1D573B5}"/>
  </bookViews>
  <sheets>
    <sheet name="Calculator" sheetId="10" r:id="rId1"/>
    <sheet name="Monthly Planner" sheetId="16" r:id="rId2"/>
    <sheet name="Conversions" sheetId="11" state="hidden" r:id="rId3"/>
    <sheet name="Review Diversions" sheetId="14" r:id="rId4"/>
  </sheets>
  <definedNames>
    <definedName name="_xlnm._FilterDatabase" localSheetId="0" hidden="1">Calculator!$C$11:$H$55</definedName>
    <definedName name="_xlnm._FilterDatabase" localSheetId="1" hidden="1">'Monthly Planner'!$C$4:$S$48</definedName>
    <definedName name="MW" localSheetId="1">'Monthly Planner'!$C$6:$E$23</definedName>
    <definedName name="MW">Calculator!$C$13:$H$30</definedName>
    <definedName name="_xlnm.Print_Area" localSheetId="0">Calculator!$A$1:$X$57</definedName>
    <definedName name="_xlnm.Print_Area" localSheetId="1">'Monthly Planner'!$A$1:$T$49</definedName>
    <definedName name="switch">#REF!</definedName>
    <definedName name="WM_MWWM" localSheetId="1">'Monthly Planner'!$C$6:$E$23</definedName>
    <definedName name="WM_MWWM">Calculator!$C$13:$H$30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11" l="1"/>
  <c r="Z25" i="11"/>
  <c r="Z28" i="11"/>
  <c r="Z31" i="11"/>
  <c r="O45" i="11"/>
  <c r="N55" i="10"/>
  <c r="N54" i="10"/>
  <c r="K48" i="11" s="1" a="1"/>
  <c r="K48" i="11" s="1"/>
  <c r="N53" i="10"/>
  <c r="N52" i="10"/>
  <c r="N51" i="10"/>
  <c r="N50" i="10"/>
  <c r="N49" i="10"/>
  <c r="N48" i="10"/>
  <c r="N46" i="10"/>
  <c r="K40" i="11" s="1" a="1"/>
  <c r="K40" i="11" s="1"/>
  <c r="N44" i="10"/>
  <c r="N43" i="10"/>
  <c r="N42" i="10"/>
  <c r="N41" i="10"/>
  <c r="N40" i="10"/>
  <c r="N39" i="10"/>
  <c r="N38" i="10"/>
  <c r="N36" i="10"/>
  <c r="N35" i="10"/>
  <c r="K28" i="11" a="1"/>
  <c r="K28" i="11" s="1"/>
  <c r="N33" i="10"/>
  <c r="N32" i="10"/>
  <c r="K25" i="11" a="1"/>
  <c r="K25" i="11" s="1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W55" i="10" a="1"/>
  <c r="W55" i="10" s="1"/>
  <c r="W54" i="10" a="1"/>
  <c r="W54" i="10" s="1"/>
  <c r="W53" i="10" a="1"/>
  <c r="W53" i="10" s="1"/>
  <c r="W52" i="10" a="1"/>
  <c r="W52" i="10" s="1"/>
  <c r="W51" i="10" a="1"/>
  <c r="W51" i="10" s="1"/>
  <c r="W50" i="10" a="1"/>
  <c r="W50" i="10" s="1"/>
  <c r="W49" i="10" a="1"/>
  <c r="W49" i="10" s="1"/>
  <c r="W48" i="10" a="1"/>
  <c r="W48" i="10" s="1"/>
  <c r="W46" i="10" a="1"/>
  <c r="W46" i="10" s="1"/>
  <c r="W44" i="10" a="1"/>
  <c r="W44" i="10" s="1"/>
  <c r="W43" i="10" a="1"/>
  <c r="W43" i="10" s="1"/>
  <c r="W42" i="10" a="1"/>
  <c r="W42" i="10" s="1"/>
  <c r="W41" i="10" a="1"/>
  <c r="W41" i="10" s="1"/>
  <c r="W40" i="10" a="1"/>
  <c r="W40" i="10" s="1"/>
  <c r="W39" i="10" a="1"/>
  <c r="W39" i="10" s="1"/>
  <c r="W38" i="10" a="1"/>
  <c r="W38" i="10" s="1"/>
  <c r="W36" i="10" a="1"/>
  <c r="W36" i="10" s="1"/>
  <c r="W35" i="10" a="1"/>
  <c r="W35" i="10" s="1"/>
  <c r="W33" i="10" a="1"/>
  <c r="W33" i="10" s="1"/>
  <c r="W32" i="10" a="1"/>
  <c r="W32" i="10" s="1"/>
  <c r="W30" i="10" a="1"/>
  <c r="W30" i="10" s="1"/>
  <c r="W29" i="10" a="1"/>
  <c r="W29" i="10" s="1"/>
  <c r="W28" i="10" a="1"/>
  <c r="W28" i="10" s="1"/>
  <c r="W27" i="10" a="1"/>
  <c r="W27" i="10" s="1"/>
  <c r="W26" i="10" a="1"/>
  <c r="W26" i="10" s="1"/>
  <c r="W25" i="10" a="1"/>
  <c r="W25" i="10" s="1"/>
  <c r="W24" i="10" a="1"/>
  <c r="W24" i="10" s="1"/>
  <c r="W23" i="10" a="1"/>
  <c r="W23" i="10" s="1"/>
  <c r="W22" i="10" a="1"/>
  <c r="W22" i="10" s="1"/>
  <c r="W21" i="10" a="1"/>
  <c r="W21" i="10" s="1"/>
  <c r="W20" i="10" a="1"/>
  <c r="W20" i="10" s="1"/>
  <c r="W19" i="10" a="1"/>
  <c r="W19" i="10" s="1"/>
  <c r="W18" i="10" a="1"/>
  <c r="W18" i="10" s="1"/>
  <c r="W17" i="10" a="1"/>
  <c r="W17" i="10" s="1"/>
  <c r="W16" i="10" a="1"/>
  <c r="W16" i="10" s="1"/>
  <c r="W15" i="10" a="1"/>
  <c r="W15" i="10" s="1"/>
  <c r="W14" i="10" a="1"/>
  <c r="W14" i="10" s="1"/>
  <c r="V40" i="11"/>
  <c r="Z40" i="11" s="1"/>
  <c r="V41" i="11"/>
  <c r="Z41" i="11" s="1"/>
  <c r="V42" i="11"/>
  <c r="Z42" i="11" s="1"/>
  <c r="V43" i="11"/>
  <c r="Z43" i="11" s="1"/>
  <c r="V44" i="11"/>
  <c r="Z44" i="11" s="1"/>
  <c r="V45" i="11"/>
  <c r="Z45" i="11" s="1"/>
  <c r="V46" i="11"/>
  <c r="Z46" i="11" s="1"/>
  <c r="V47" i="11"/>
  <c r="Z47" i="11" s="1"/>
  <c r="V48" i="11"/>
  <c r="Z48" i="11" s="1"/>
  <c r="V49" i="11"/>
  <c r="Z49" i="11" s="1"/>
  <c r="V39" i="11"/>
  <c r="Z39" i="11" s="1"/>
  <c r="V38" i="11"/>
  <c r="Z38" i="11" s="1"/>
  <c r="K31" i="11" a="1"/>
  <c r="K31" i="11" s="1"/>
  <c r="K39" i="11" a="1"/>
  <c r="K39" i="11" s="1"/>
  <c r="K41" i="11" a="1"/>
  <c r="K41" i="11" s="1"/>
  <c r="M6" i="11"/>
  <c r="O6" i="11"/>
  <c r="Q6" i="11"/>
  <c r="M39" i="11" l="1"/>
  <c r="O39" i="11"/>
  <c r="Q39" i="11"/>
  <c r="O31" i="11"/>
  <c r="M31" i="11"/>
  <c r="Q31" i="11"/>
  <c r="O41" i="11"/>
  <c r="Q41" i="11"/>
  <c r="M41" i="11"/>
  <c r="M28" i="11"/>
  <c r="O28" i="11"/>
  <c r="Q28" i="11"/>
  <c r="M25" i="11"/>
  <c r="O25" i="11"/>
  <c r="Q25" i="11"/>
  <c r="G43" i="16"/>
  <c r="G44" i="16"/>
  <c r="G45" i="16"/>
  <c r="G46" i="16"/>
  <c r="G47" i="16"/>
  <c r="G48" i="16"/>
  <c r="V7" i="11"/>
  <c r="Z7" i="11" s="1"/>
  <c r="V8" i="11"/>
  <c r="Z8" i="11" s="1"/>
  <c r="V9" i="11"/>
  <c r="V10" i="11"/>
  <c r="V11" i="11"/>
  <c r="V12" i="11"/>
  <c r="V13" i="11"/>
  <c r="Z13" i="11" s="1"/>
  <c r="V14" i="11"/>
  <c r="V15" i="11"/>
  <c r="V16" i="11"/>
  <c r="V32" i="11"/>
  <c r="V17" i="11"/>
  <c r="V18" i="11"/>
  <c r="Z18" i="11" s="1"/>
  <c r="V19" i="11"/>
  <c r="X43" i="11"/>
  <c r="AB45" i="11"/>
  <c r="X46" i="11"/>
  <c r="V29" i="11"/>
  <c r="X47" i="11"/>
  <c r="V30" i="11"/>
  <c r="X48" i="11"/>
  <c r="X49" i="11"/>
  <c r="V20" i="11"/>
  <c r="Z20" i="11" s="1"/>
  <c r="V21" i="11"/>
  <c r="V22" i="11"/>
  <c r="Z22" i="11" s="1"/>
  <c r="V23" i="11"/>
  <c r="V24" i="11"/>
  <c r="V26" i="11"/>
  <c r="Z26" i="11" s="1"/>
  <c r="V27" i="11"/>
  <c r="Z27" i="11" s="1"/>
  <c r="V33" i="11"/>
  <c r="V34" i="11"/>
  <c r="V35" i="11"/>
  <c r="V36" i="11"/>
  <c r="V37" i="11"/>
  <c r="X38" i="11"/>
  <c r="X40" i="11"/>
  <c r="W13" i="10" a="1"/>
  <c r="W13" i="10" s="1"/>
  <c r="N13" i="10"/>
  <c r="K7" i="11" s="1" a="1"/>
  <c r="K7" i="11" s="1"/>
  <c r="K27" i="11" a="1"/>
  <c r="K27" i="11" s="1"/>
  <c r="K26" i="11" a="1"/>
  <c r="K26" i="11" s="1"/>
  <c r="X11" i="11" l="1"/>
  <c r="Z11" i="11"/>
  <c r="X12" i="11"/>
  <c r="Z12" i="11"/>
  <c r="X24" i="11"/>
  <c r="Z24" i="11"/>
  <c r="X14" i="11"/>
  <c r="Z14" i="11"/>
  <c r="X37" i="11"/>
  <c r="Z37" i="11"/>
  <c r="X30" i="11"/>
  <c r="Z30" i="11"/>
  <c r="X29" i="11"/>
  <c r="Z29" i="11"/>
  <c r="AB35" i="11"/>
  <c r="Z35" i="11"/>
  <c r="X9" i="11"/>
  <c r="Z9" i="11"/>
  <c r="X36" i="11"/>
  <c r="Z36" i="11"/>
  <c r="AB34" i="11"/>
  <c r="Z34" i="11"/>
  <c r="X32" i="11"/>
  <c r="Z32" i="11"/>
  <c r="X33" i="11"/>
  <c r="Z33" i="11"/>
  <c r="X19" i="11"/>
  <c r="Z19" i="11"/>
  <c r="X16" i="11"/>
  <c r="Z16" i="11"/>
  <c r="X21" i="11"/>
  <c r="Z21" i="11"/>
  <c r="X10" i="11"/>
  <c r="Z10" i="11"/>
  <c r="X23" i="11"/>
  <c r="Z23" i="11"/>
  <c r="AB15" i="11"/>
  <c r="Z15" i="11"/>
  <c r="X17" i="11"/>
  <c r="Z17" i="11"/>
  <c r="X7" i="11"/>
  <c r="AB21" i="11"/>
  <c r="AB24" i="11"/>
  <c r="AB23" i="11"/>
  <c r="AB19" i="11"/>
  <c r="X13" i="11"/>
  <c r="X27" i="11"/>
  <c r="X20" i="11"/>
  <c r="X26" i="11"/>
  <c r="X44" i="11"/>
  <c r="AB36" i="11"/>
  <c r="AB46" i="11"/>
  <c r="AB38" i="11"/>
  <c r="X22" i="11"/>
  <c r="AB48" i="11"/>
  <c r="AB44" i="11"/>
  <c r="AB27" i="11"/>
  <c r="AB16" i="11"/>
  <c r="AB13" i="11"/>
  <c r="AB9" i="11"/>
  <c r="AB20" i="11"/>
  <c r="AB26" i="11"/>
  <c r="AB18" i="11"/>
  <c r="X15" i="11"/>
  <c r="AB11" i="11"/>
  <c r="AB47" i="11"/>
  <c r="X18" i="11"/>
  <c r="AB17" i="11"/>
  <c r="AB42" i="11"/>
  <c r="X34" i="11"/>
  <c r="X42" i="11"/>
  <c r="M7" i="11"/>
  <c r="O7" i="11"/>
  <c r="Q7" i="11"/>
  <c r="X35" i="11"/>
  <c r="AB33" i="11"/>
  <c r="X45" i="11"/>
  <c r="AB43" i="11"/>
  <c r="X8" i="11"/>
  <c r="AB7" i="11"/>
  <c r="AB49" i="11"/>
  <c r="AB14" i="11"/>
  <c r="AB40" i="11"/>
  <c r="AB30" i="11"/>
  <c r="AB12" i="11"/>
  <c r="AB37" i="11"/>
  <c r="AB29" i="11"/>
  <c r="AB10" i="11"/>
  <c r="AB22" i="11"/>
  <c r="AB32" i="11"/>
  <c r="AB8" i="11"/>
  <c r="K49" i="11" a="1"/>
  <c r="K49" i="11" s="1"/>
  <c r="K47" i="11" a="1"/>
  <c r="K47" i="11" s="1"/>
  <c r="K46" i="11" a="1"/>
  <c r="K46" i="11" s="1"/>
  <c r="K45" i="11" a="1"/>
  <c r="K45" i="11" s="1"/>
  <c r="K44" i="11" a="1"/>
  <c r="K44" i="11" s="1"/>
  <c r="K43" i="11" a="1"/>
  <c r="K43" i="11" s="1"/>
  <c r="K42" i="11" a="1"/>
  <c r="K42" i="11" s="1"/>
  <c r="K38" i="11" a="1"/>
  <c r="K38" i="11" s="1"/>
  <c r="K37" i="11" a="1"/>
  <c r="K37" i="11" s="1"/>
  <c r="K36" i="11" a="1"/>
  <c r="K36" i="11" s="1"/>
  <c r="K35" i="11" a="1"/>
  <c r="K35" i="11" s="1"/>
  <c r="K34" i="11" a="1"/>
  <c r="K34" i="11" s="1"/>
  <c r="K33" i="11" a="1"/>
  <c r="K33" i="11" s="1"/>
  <c r="K32" i="11" a="1"/>
  <c r="K32" i="11" s="1"/>
  <c r="K21" i="11" a="1"/>
  <c r="K21" i="11" s="1"/>
  <c r="K16" i="11" a="1"/>
  <c r="K16" i="11" s="1"/>
  <c r="M16" i="11" s="1"/>
  <c r="K15" i="11" a="1"/>
  <c r="K15" i="11" s="1"/>
  <c r="M15" i="11" s="1"/>
  <c r="K14" i="11" a="1"/>
  <c r="K14" i="11" s="1"/>
  <c r="M14" i="11" s="1"/>
  <c r="K13" i="11" a="1"/>
  <c r="K13" i="11" s="1"/>
  <c r="M13" i="11" s="1"/>
  <c r="K11" i="11" a="1"/>
  <c r="K11" i="11" s="1"/>
  <c r="M11" i="11" s="1"/>
  <c r="K10" i="11" a="1"/>
  <c r="K10" i="11" s="1"/>
  <c r="M10" i="11" s="1"/>
  <c r="K9" i="11" a="1"/>
  <c r="K9" i="11" s="1"/>
  <c r="Q9" i="11" s="1"/>
  <c r="K8" i="11" a="1"/>
  <c r="K8" i="11" s="1"/>
  <c r="M8" i="11" s="1"/>
  <c r="K12" i="11" a="1"/>
  <c r="K12" i="11" s="1"/>
  <c r="O12" i="11" s="1"/>
  <c r="K17" i="11" l="1" a="1"/>
  <c r="K17" i="11" s="1"/>
  <c r="O17" i="11" s="1"/>
  <c r="O26" i="11"/>
  <c r="M49" i="11"/>
  <c r="M36" i="11"/>
  <c r="K20" i="11" a="1"/>
  <c r="K20" i="11" s="1"/>
  <c r="M20" i="11" s="1"/>
  <c r="Q37" i="11"/>
  <c r="O38" i="11"/>
  <c r="K30" i="11" a="1"/>
  <c r="K30" i="11" s="1"/>
  <c r="M30" i="11" s="1"/>
  <c r="M34" i="11"/>
  <c r="Q43" i="11"/>
  <c r="M48" i="11"/>
  <c r="K19" i="11" a="1"/>
  <c r="K19" i="11" s="1"/>
  <c r="M19" i="11" s="1"/>
  <c r="K22" i="11" a="1"/>
  <c r="K22" i="11" s="1"/>
  <c r="M22" i="11" s="1"/>
  <c r="O44" i="11"/>
  <c r="K18" i="11" a="1"/>
  <c r="K18" i="11" s="1"/>
  <c r="O18" i="11" s="1"/>
  <c r="M21" i="11"/>
  <c r="M27" i="11"/>
  <c r="M32" i="11"/>
  <c r="M35" i="11"/>
  <c r="K24" i="11" a="1"/>
  <c r="K24" i="11" s="1"/>
  <c r="O24" i="11" s="1"/>
  <c r="K29" i="11" a="1"/>
  <c r="K29" i="11" s="1"/>
  <c r="K23" i="11" a="1"/>
  <c r="K23" i="11" s="1"/>
  <c r="M23" i="11" s="1"/>
  <c r="O47" i="11"/>
  <c r="Q40" i="11"/>
  <c r="M33" i="11"/>
  <c r="M42" i="11"/>
  <c r="O27" i="11"/>
  <c r="Q10" i="11"/>
  <c r="O9" i="11"/>
  <c r="Q27" i="11"/>
  <c r="O10" i="11"/>
  <c r="M12" i="11"/>
  <c r="M9" i="11"/>
  <c r="O49" i="11"/>
  <c r="Q8" i="11"/>
  <c r="O15" i="11"/>
  <c r="O8" i="11"/>
  <c r="Q11" i="11"/>
  <c r="Q15" i="11"/>
  <c r="Q14" i="11"/>
  <c r="O11" i="11"/>
  <c r="O14" i="11"/>
  <c r="Q26" i="11"/>
  <c r="M26" i="11"/>
  <c r="Q42" i="11"/>
  <c r="O16" i="11"/>
  <c r="O42" i="11"/>
  <c r="Q16" i="11"/>
  <c r="Q13" i="11"/>
  <c r="Q12" i="11"/>
  <c r="O13" i="11"/>
  <c r="O21" i="11"/>
  <c r="Q21" i="11"/>
  <c r="Q17" i="11" l="1"/>
  <c r="M17" i="11"/>
  <c r="O20" i="11"/>
  <c r="O36" i="11"/>
  <c r="Q36" i="11"/>
  <c r="Q49" i="11"/>
  <c r="Q38" i="11"/>
  <c r="M18" i="11"/>
  <c r="M43" i="11"/>
  <c r="Q35" i="11"/>
  <c r="M37" i="11"/>
  <c r="Q19" i="11"/>
  <c r="O35" i="11"/>
  <c r="O48" i="11"/>
  <c r="Q48" i="11"/>
  <c r="Q22" i="11"/>
  <c r="O22" i="11"/>
  <c r="Q44" i="11"/>
  <c r="M24" i="11"/>
  <c r="O43" i="11"/>
  <c r="Q24" i="11"/>
  <c r="Q30" i="11"/>
  <c r="O30" i="11"/>
  <c r="O19" i="11"/>
  <c r="Q45" i="11"/>
  <c r="Q20" i="11"/>
  <c r="Q34" i="11"/>
  <c r="O32" i="11"/>
  <c r="M44" i="11"/>
  <c r="M46" i="11"/>
  <c r="O46" i="11"/>
  <c r="Q46" i="11"/>
  <c r="M38" i="11"/>
  <c r="Q23" i="11"/>
  <c r="Q18" i="11"/>
  <c r="O23" i="11"/>
  <c r="M45" i="11"/>
  <c r="O37" i="11"/>
  <c r="Q32" i="11"/>
  <c r="O34" i="11"/>
  <c r="Q47" i="11"/>
  <c r="O29" i="11"/>
  <c r="M29" i="11"/>
  <c r="Q29" i="11"/>
  <c r="M47" i="11"/>
  <c r="C5" i="16" a="1"/>
  <c r="M40" i="11"/>
  <c r="O40" i="11"/>
  <c r="O33" i="11"/>
  <c r="Q33" i="11"/>
  <c r="AB50" i="11"/>
  <c r="Z50" i="11"/>
  <c r="C5" i="16" l="1"/>
  <c r="F42" i="16"/>
  <c r="G42" i="16" s="1"/>
  <c r="F13" i="16"/>
  <c r="G13" i="16" s="1"/>
  <c r="F20" i="16"/>
  <c r="G20" i="16" s="1"/>
  <c r="F41" i="16"/>
  <c r="G41" i="16" s="1"/>
  <c r="F39" i="16"/>
  <c r="G39" i="16" s="1"/>
  <c r="F28" i="16"/>
  <c r="G28" i="16" s="1"/>
  <c r="F14" i="16"/>
  <c r="G14" i="16" s="1"/>
  <c r="F23" i="16"/>
  <c r="G23" i="16" s="1"/>
  <c r="F18" i="16"/>
  <c r="G18" i="16" s="1"/>
  <c r="F40" i="16"/>
  <c r="G40" i="16" s="1"/>
  <c r="F26" i="16"/>
  <c r="G26" i="16" s="1"/>
  <c r="F9" i="16"/>
  <c r="G9" i="16" s="1"/>
  <c r="F34" i="16"/>
  <c r="G34" i="16" s="1"/>
  <c r="F29" i="16"/>
  <c r="G29" i="16" s="1"/>
  <c r="F33" i="16"/>
  <c r="G33" i="16" s="1"/>
  <c r="F11" i="16"/>
  <c r="G11" i="16" s="1"/>
  <c r="F17" i="16"/>
  <c r="G17" i="16" s="1"/>
  <c r="F36" i="16"/>
  <c r="G36" i="16" s="1"/>
  <c r="F30" i="16"/>
  <c r="G30" i="16" s="1"/>
  <c r="F32" i="16"/>
  <c r="G32" i="16" s="1"/>
  <c r="F21" i="16"/>
  <c r="G21" i="16" s="1"/>
  <c r="F22" i="16"/>
  <c r="G22" i="16" s="1"/>
  <c r="F8" i="16"/>
  <c r="G8" i="16" s="1"/>
  <c r="F25" i="16"/>
  <c r="G25" i="16" s="1"/>
  <c r="F35" i="16"/>
  <c r="G35" i="16" s="1"/>
  <c r="F16" i="16"/>
  <c r="G16" i="16" s="1"/>
  <c r="F19" i="16"/>
  <c r="G19" i="16" s="1"/>
  <c r="F15" i="16"/>
  <c r="G15" i="16" s="1"/>
  <c r="F24" i="16"/>
  <c r="G24" i="16" s="1"/>
  <c r="F38" i="16"/>
  <c r="G38" i="16" s="1"/>
  <c r="F12" i="16"/>
  <c r="G12" i="16" s="1"/>
  <c r="F31" i="16"/>
  <c r="G31" i="16" s="1"/>
  <c r="F10" i="16"/>
  <c r="G10" i="16" s="1"/>
  <c r="F27" i="16"/>
  <c r="G27" i="16" s="1"/>
  <c r="F37" i="16"/>
  <c r="G37" i="16" s="1"/>
  <c r="F6" i="16"/>
  <c r="G6" i="16" s="1"/>
  <c r="F5" i="16"/>
  <c r="G5" i="16" s="1"/>
  <c r="F7" i="16"/>
  <c r="G7" i="16" s="1"/>
  <c r="X50" i="11"/>
  <c r="M50" i="11"/>
  <c r="Q50" i="11"/>
  <c r="O50" i="11"/>
  <c r="J7" i="14" l="1" a="1"/>
  <c r="J7" i="14" s="1"/>
  <c r="I7" i="14" a="1"/>
  <c r="I7" i="14" s="1"/>
  <c r="M2" i="11" l="1"/>
  <c r="E11" i="11" s="1"/>
  <c r="AN62" i="11" s="1"/>
  <c r="M3" i="11"/>
  <c r="E8" i="11" s="1"/>
  <c r="AT62" i="11" s="1"/>
  <c r="AI57" i="11" l="1"/>
  <c r="E12" i="11"/>
  <c r="AN66" i="11" s="1"/>
  <c r="E13" i="11"/>
  <c r="AP62" i="11" s="1"/>
  <c r="J8" i="14" a="1"/>
  <c r="J8" i="14" s="1"/>
  <c r="J10" i="14" s="1"/>
  <c r="E6" i="11"/>
  <c r="AP66" i="11" s="1"/>
  <c r="E7" i="11"/>
  <c r="AR62" i="11" s="1"/>
  <c r="I8" i="14" a="1"/>
  <c r="I8" i="14" s="1"/>
  <c r="I10" i="14" s="1"/>
  <c r="E10" i="11"/>
  <c r="AR66" i="11" s="1"/>
  <c r="AG57" i="11"/>
  <c r="E9" i="11"/>
  <c r="AT66" i="11" s="1"/>
  <c r="F11" i="11"/>
  <c r="F8" i="11"/>
  <c r="F12" i="11" l="1"/>
  <c r="F13" i="11"/>
  <c r="F7" i="11"/>
  <c r="F6" i="11"/>
  <c r="J3" i="14"/>
  <c r="J4" i="14" s="1" a="1"/>
  <c r="J4" i="14" s="1"/>
  <c r="F9" i="11"/>
  <c r="F10" i="11"/>
  <c r="J11" i="14" l="1"/>
  <c r="I11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<sst xmlns="http://schemas.openxmlformats.org/spreadsheetml/2006/main" count="312" uniqueCount="149">
  <si>
    <t>Product Description</t>
  </si>
  <si>
    <t>White - Dark Meat Portioned Chicken Products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</si>
  <si>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</si>
  <si>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</si>
  <si>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</si>
  <si>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</si>
  <si>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</si>
  <si>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</si>
  <si>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</si>
  <si>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</si>
  <si>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</si>
  <si>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</si>
  <si>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</si>
  <si>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</si>
  <si>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Dark Meat Only Chicken Products</t>
  </si>
  <si>
    <t>Premium Artisan WG Breaded Chicken Breast Fillet</t>
  </si>
  <si>
    <t>Premium Artisan WG Breaded Chicken Breast Slider Fillet</t>
  </si>
  <si>
    <t>Premium Artisan WG Breaded Boneless Chicken Wing/Breast Chunk</t>
  </si>
  <si>
    <t xml:space="preserve">Premium Artisan WG Breaded Chicken Breast Tenders </t>
  </si>
  <si>
    <t>Grilled Seasoned Non-Breaded MWWM Chicken Breast Patty</t>
  </si>
  <si>
    <t>Premium Artisan WG Breaded MWWM Chicken Tender</t>
  </si>
  <si>
    <t>Premium Artisan WG Breaded MWWM Chicken Patty</t>
  </si>
  <si>
    <t>Premium Artisan WG Breaded MWWM Chicken Nugget</t>
  </si>
  <si>
    <t>Dark Meat Chicken Sausage Patty</t>
  </si>
  <si>
    <t>Premium Artisan WG Breaded Dark Meat Chicken Poppers</t>
  </si>
  <si>
    <t xml:space="preserve">Roasted Garlic Basil Chicken Meatballs with Mozzarella Cheese </t>
  </si>
  <si>
    <t>Kickin' Chicken Meatballs with Real Mango and Real Jalapeno</t>
  </si>
  <si>
    <t>Roasted Garlic Basil Chicken Patty With Mozzarella Cheese</t>
  </si>
  <si>
    <t>WG Breaded W/D Popcorn Chicken</t>
  </si>
  <si>
    <t>WG Breaded W/D Chicken Nugget</t>
  </si>
  <si>
    <t>WG Breaded W/D Chicken Slider Patty</t>
  </si>
  <si>
    <t>WG Breaded W/D Chicken Tender</t>
  </si>
  <si>
    <t>WG Breaded W/D Natural Shape Chicken Patty</t>
  </si>
  <si>
    <t>Grilled Sensations Boneless Chicken Wing/Breast Chunk</t>
  </si>
  <si>
    <t>Premium Artisan WG Breaded W/D MWWM Chicken Slider Patty</t>
  </si>
  <si>
    <t>Grilled Whole Muscle &amp; Made with Whole Muscle Products</t>
  </si>
  <si>
    <t>Breaded Made With Whole Muscle NAE Products</t>
  </si>
  <si>
    <t>Product Code</t>
  </si>
  <si>
    <t>Avg. Wt. Per Svg.</t>
  </si>
  <si>
    <t>Spicy WG Breaded W/D Natural Shape Chicken Patty</t>
  </si>
  <si>
    <t>DF $</t>
  </si>
  <si>
    <t>DF LBS WHITE</t>
  </si>
  <si>
    <t>DF LBS DARK</t>
  </si>
  <si>
    <t>Cases Entered</t>
  </si>
  <si>
    <t>TOTAL DF $</t>
  </si>
  <si>
    <t>TOTAL DF LBS WHITE</t>
  </si>
  <si>
    <t>TOTAL DF LBS DARK</t>
  </si>
  <si>
    <t>Total</t>
  </si>
  <si>
    <t>91401 &amp; 91409</t>
  </si>
  <si>
    <t>94403 &amp; 94405</t>
  </si>
  <si>
    <t>Number of Cases Required to Balance Diversion</t>
  </si>
  <si>
    <t>dark balance</t>
  </si>
  <si>
    <t>white balance</t>
  </si>
  <si>
    <t>DF LBS/CS</t>
  </si>
  <si>
    <t>Breaded Whole Muscle &amp; Made With Whole Muscle Products &amp; NAE</t>
  </si>
  <si>
    <t>Number of Servings Required to Balance Diversion</t>
  </si>
  <si>
    <t>Servings</t>
  </si>
  <si>
    <t>Cases</t>
  </si>
  <si>
    <t>4/1.02 = 4.08 oz.</t>
  </si>
  <si>
    <t>2/2.05 = 4.10 oz.</t>
  </si>
  <si>
    <t>4.10 oz.</t>
  </si>
  <si>
    <t>2.05 oz.</t>
  </si>
  <si>
    <t>3/1.41 = 4.23 oz.</t>
  </si>
  <si>
    <t>5/0.84  = 4.20 oz.</t>
  </si>
  <si>
    <t>3/1.38 = 4.14 oz.</t>
  </si>
  <si>
    <t>4/0.67=2.68 oz.</t>
  </si>
  <si>
    <t>2.80 oz.</t>
  </si>
  <si>
    <t>3.00 oz.</t>
  </si>
  <si>
    <t>2.43 oz.</t>
  </si>
  <si>
    <t>2.60 oz.</t>
  </si>
  <si>
    <t>1.37 oz.</t>
  </si>
  <si>
    <t>10/0.41 = 4.10 oz.</t>
  </si>
  <si>
    <t>1.50 oz.</t>
  </si>
  <si>
    <t>3/1.00=  3.00 oz.</t>
  </si>
  <si>
    <t>3/1.40 = 4.20 oz.</t>
  </si>
  <si>
    <t>5/0.52= 2.60 oz.</t>
  </si>
  <si>
    <t>5/0.52 = 2.60 oz.</t>
  </si>
  <si>
    <t>10/0.30 = 3.00 oz.</t>
  </si>
  <si>
    <t>5/0.60 = 3.00 oz.</t>
  </si>
  <si>
    <t>Total Entitlement Value:</t>
  </si>
  <si>
    <r>
      <rPr>
        <b/>
        <i/>
        <sz val="16"/>
        <color theme="0"/>
        <rFont val="Aptos Light"/>
        <family val="2"/>
      </rPr>
      <t>Reverse</t>
    </r>
    <r>
      <rPr>
        <b/>
        <sz val="16"/>
        <color theme="0"/>
        <rFont val="Aptos Light"/>
        <family val="2"/>
      </rPr>
      <t xml:space="preserve"> Drawdown 80 Dark/20 White</t>
    </r>
  </si>
  <si>
    <t>White</t>
  </si>
  <si>
    <t>Dark &amp; White</t>
  </si>
  <si>
    <t>Dark</t>
  </si>
  <si>
    <t>White &amp; Dark</t>
  </si>
  <si>
    <t>USDA Component Used</t>
  </si>
  <si>
    <t>Servings per Occasion</t>
  </si>
  <si>
    <t>Occasions Served</t>
  </si>
  <si>
    <t>Total Servings</t>
  </si>
  <si>
    <t>Servings per Case</t>
  </si>
  <si>
    <t>Cases Needed for Servings</t>
  </si>
  <si>
    <t>Product Number</t>
  </si>
  <si>
    <t>Description</t>
  </si>
  <si>
    <r>
      <t xml:space="preserve">Premium Artisan </t>
    </r>
    <r>
      <rPr>
        <b/>
        <i/>
        <sz val="12"/>
        <color rgb="FFFF0000"/>
        <rFont val="Aptos Light"/>
        <family val="2"/>
      </rPr>
      <t>Spicy</t>
    </r>
    <r>
      <rPr>
        <sz val="12"/>
        <rFont val="Aptos Light"/>
        <family val="2"/>
      </rPr>
      <t xml:space="preserve"> WG Breaded Chicken Breast Fillet</t>
    </r>
  </si>
  <si>
    <r>
      <t xml:space="preserve">Premium Artisan WG Breaded WM Chicken Breast Fillet, </t>
    </r>
    <r>
      <rPr>
        <b/>
        <i/>
        <sz val="12"/>
        <rFont val="Aptos Light"/>
        <family val="2"/>
      </rPr>
      <t>NAE</t>
    </r>
  </si>
  <si>
    <r>
      <t xml:space="preserve">Premium Artisan WG Breaded WM Chicken Breast Slider Fillet, </t>
    </r>
    <r>
      <rPr>
        <b/>
        <i/>
        <sz val="12"/>
        <rFont val="Aptos Light"/>
        <family val="2"/>
      </rPr>
      <t>NAE</t>
    </r>
  </si>
  <si>
    <r>
      <t xml:space="preserve">Rich-Fil-Yay! </t>
    </r>
    <r>
      <rPr>
        <b/>
        <i/>
        <sz val="12"/>
        <color rgb="FF00B050"/>
        <rFont val="Aptos Light"/>
        <family val="2"/>
      </rPr>
      <t>Dill</t>
    </r>
    <r>
      <rPr>
        <sz val="12"/>
        <rFont val="Aptos Light"/>
        <family val="2"/>
      </rPr>
      <t xml:space="preserve"> </t>
    </r>
    <r>
      <rPr>
        <b/>
        <i/>
        <sz val="12"/>
        <color rgb="FF00B050"/>
        <rFont val="Aptos Light"/>
        <family val="2"/>
      </rPr>
      <t>Seasoned</t>
    </r>
    <r>
      <rPr>
        <sz val="12"/>
        <rFont val="Aptos Light"/>
        <family val="2"/>
      </rPr>
      <t xml:space="preserve"> WG Breaded Chicken Breast Fillet</t>
    </r>
  </si>
  <si>
    <r>
      <t xml:space="preserve">Premium Artisan </t>
    </r>
    <r>
      <rPr>
        <b/>
        <i/>
        <sz val="12"/>
        <color rgb="FFFF0000"/>
        <rFont val="Aptos Light"/>
        <family val="2"/>
      </rPr>
      <t>Spicy</t>
    </r>
    <r>
      <rPr>
        <sz val="12"/>
        <rFont val="Aptos Light"/>
        <family val="2"/>
      </rPr>
      <t xml:space="preserve"> WG Breaded WM Chicken Breast Fillet, </t>
    </r>
    <r>
      <rPr>
        <b/>
        <i/>
        <sz val="12"/>
        <rFont val="Aptos Light"/>
        <family val="2"/>
      </rPr>
      <t>NAE</t>
    </r>
  </si>
  <si>
    <r>
      <t xml:space="preserve">Premium Artisan WG Breaded WM Boneless Chicken Wings, </t>
    </r>
    <r>
      <rPr>
        <b/>
        <i/>
        <sz val="12"/>
        <rFont val="Aptos Light"/>
        <family val="2"/>
      </rPr>
      <t>NAE</t>
    </r>
  </si>
  <si>
    <r>
      <t xml:space="preserve">Rich-Fil-Yay! </t>
    </r>
    <r>
      <rPr>
        <b/>
        <i/>
        <sz val="12"/>
        <color rgb="FF00B050"/>
        <rFont val="Aptos Light"/>
        <family val="2"/>
      </rPr>
      <t>Dill Seasoned</t>
    </r>
    <r>
      <rPr>
        <sz val="12"/>
        <rFont val="Aptos Light"/>
        <family val="2"/>
      </rPr>
      <t xml:space="preserve"> WG Breaded Boneless Chicken Wing/Breast Chunk</t>
    </r>
  </si>
  <si>
    <r>
      <t xml:space="preserve">Seasoned Dark Meat Chicken Crumbles, </t>
    </r>
    <r>
      <rPr>
        <b/>
        <i/>
        <sz val="12"/>
        <color theme="1"/>
        <rFont val="Aptos Light"/>
        <family val="2"/>
      </rPr>
      <t>NAE</t>
    </r>
  </si>
  <si>
    <r>
      <t xml:space="preserve">Premium Artisan </t>
    </r>
    <r>
      <rPr>
        <b/>
        <i/>
        <sz val="12"/>
        <color rgb="FFFF0000"/>
        <rFont val="Aptos Light"/>
        <family val="2"/>
      </rPr>
      <t>Spicy</t>
    </r>
    <r>
      <rPr>
        <sz val="12"/>
        <rFont val="Aptos Light"/>
        <family val="2"/>
      </rPr>
      <t xml:space="preserve"> WG Breaded Chicken Breast Tenders </t>
    </r>
  </si>
  <si>
    <r>
      <t xml:space="preserve">Premium Artisan WG Breaded WM Chicken Tenders, </t>
    </r>
    <r>
      <rPr>
        <b/>
        <i/>
        <sz val="12"/>
        <rFont val="Aptos Light"/>
        <family val="2"/>
      </rPr>
      <t>NAE</t>
    </r>
  </si>
  <si>
    <r>
      <rPr>
        <b/>
        <i/>
        <sz val="12"/>
        <color rgb="FF7030A0"/>
        <rFont val="Aptos Light"/>
        <family val="2"/>
      </rPr>
      <t>Halal Certified</t>
    </r>
    <r>
      <rPr>
        <b/>
        <i/>
        <sz val="12"/>
        <color theme="1"/>
        <rFont val="Aptos Light"/>
        <family val="2"/>
      </rPr>
      <t xml:space="preserve"> </t>
    </r>
    <r>
      <rPr>
        <sz val="12"/>
        <color theme="1"/>
        <rFont val="Aptos Light"/>
        <family val="2"/>
      </rPr>
      <t>Premium Artisan WG Breaded W/D MWWM Chicken Tenders</t>
    </r>
  </si>
  <si>
    <r>
      <t xml:space="preserve">WG Breaded Chicken Patty, </t>
    </r>
    <r>
      <rPr>
        <b/>
        <i/>
        <sz val="12"/>
        <color theme="1"/>
        <rFont val="Aptos Light"/>
        <family val="2"/>
      </rPr>
      <t>NAE</t>
    </r>
  </si>
  <si>
    <r>
      <t xml:space="preserve">WG Breaded Chicken Nugget, </t>
    </r>
    <r>
      <rPr>
        <b/>
        <i/>
        <sz val="12"/>
        <color theme="1"/>
        <rFont val="Aptos Light"/>
        <family val="2"/>
      </rPr>
      <t>NAE</t>
    </r>
  </si>
  <si>
    <r>
      <t xml:space="preserve">Premium Artisan </t>
    </r>
    <r>
      <rPr>
        <b/>
        <i/>
        <sz val="12"/>
        <color rgb="FFFF0000"/>
        <rFont val="Aptos Light"/>
        <family val="2"/>
      </rPr>
      <t>Spicy</t>
    </r>
    <r>
      <rPr>
        <sz val="12"/>
        <rFont val="Aptos Light"/>
        <family val="2"/>
      </rPr>
      <t xml:space="preserve"> WG Breaded MWWM Chicken Patty</t>
    </r>
  </si>
  <si>
    <r>
      <t xml:space="preserve">Premium Artisan </t>
    </r>
    <r>
      <rPr>
        <b/>
        <i/>
        <sz val="12"/>
        <color rgb="FFFF0000"/>
        <rFont val="Aptos Light"/>
        <family val="2"/>
      </rPr>
      <t>Spicy</t>
    </r>
    <r>
      <rPr>
        <sz val="12"/>
        <rFont val="Aptos Light"/>
        <family val="2"/>
      </rPr>
      <t xml:space="preserve"> WG Breaded MWWM Chicken Tender</t>
    </r>
  </si>
  <si>
    <r>
      <t xml:space="preserve">Premium Artisan WG Breaded Dark Meat Chicken Poppers, </t>
    </r>
    <r>
      <rPr>
        <b/>
        <i/>
        <sz val="12"/>
        <color theme="1"/>
        <rFont val="Aptos Light"/>
        <family val="2"/>
      </rPr>
      <t>NAE</t>
    </r>
  </si>
  <si>
    <r>
      <rPr>
        <b/>
        <i/>
        <sz val="12"/>
        <color theme="1"/>
        <rFont val="Aptos Light"/>
        <family val="2"/>
      </rPr>
      <t>Reverse Drawdown 80% Dark / 20% White</t>
    </r>
    <r>
      <rPr>
        <sz val="12"/>
        <color theme="1"/>
        <rFont val="Aptos Light"/>
        <family val="2"/>
      </rPr>
      <t xml:space="preserve">, Seasoned Hand Pulled Chicken, </t>
    </r>
    <r>
      <rPr>
        <b/>
        <i/>
        <sz val="12"/>
        <color theme="1"/>
        <rFont val="Aptos Light"/>
        <family val="2"/>
      </rPr>
      <t>NAE</t>
    </r>
  </si>
  <si>
    <t>Product Requirements</t>
  </si>
  <si>
    <t>Unutilized Component</t>
  </si>
  <si>
    <t>Diversion</t>
  </si>
  <si>
    <t>Total Diverted Pounds:</t>
  </si>
  <si>
    <t>Enter Cases to Balance Diversion</t>
  </si>
  <si>
    <t>Forecasted</t>
  </si>
  <si>
    <t>Planned Delivery</t>
  </si>
  <si>
    <t>Unplanned</t>
  </si>
  <si>
    <t>Whole Muscle and Made With Whole Muscle Products</t>
  </si>
  <si>
    <t>Grilled Products</t>
  </si>
  <si>
    <t>NAE Made WithWhole Muscle Products</t>
  </si>
  <si>
    <t>Naturally Proportioned White-Dark Products</t>
  </si>
  <si>
    <t>Dark Meat Products</t>
  </si>
  <si>
    <t>Reverse Drawdown Dark-White Products</t>
  </si>
  <si>
    <t>Column1</t>
  </si>
  <si>
    <t>Unutilized USDA Poultry Pounds</t>
  </si>
  <si>
    <t>Mango Jalapeno Meatballs</t>
  </si>
  <si>
    <t>Garlic Basil Meatballs/Patty</t>
  </si>
  <si>
    <t>Sausage Patty</t>
  </si>
  <si>
    <t>Chicken Crumbles</t>
  </si>
  <si>
    <t>Chicken Poppers</t>
  </si>
  <si>
    <t>Whole Muscle and MWWM</t>
  </si>
  <si>
    <t>NAE MWWM Products</t>
  </si>
  <si>
    <t>54440 &amp; 54454</t>
  </si>
  <si>
    <t>56404 &amp; 56405</t>
  </si>
  <si>
    <t>NAE Formed Products</t>
  </si>
  <si>
    <r>
      <t xml:space="preserve">Start here, select </t>
    </r>
    <r>
      <rPr>
        <b/>
        <sz val="20"/>
        <rFont val="Aptos Light"/>
        <family val="2"/>
      </rPr>
      <t>Servings</t>
    </r>
    <r>
      <rPr>
        <sz val="20"/>
        <rFont val="Aptos Light"/>
        <family val="2"/>
      </rPr>
      <t xml:space="preserve"> or </t>
    </r>
    <r>
      <rPr>
        <b/>
        <sz val="20"/>
        <rFont val="Aptos Light"/>
        <family val="2"/>
      </rPr>
      <t>Cases</t>
    </r>
    <r>
      <rPr>
        <sz val="20"/>
        <rFont val="Aptos Light"/>
        <family val="2"/>
      </rPr>
      <t xml:space="preserve"> calculator --------&gt;</t>
    </r>
  </si>
  <si>
    <r>
      <t xml:space="preserve">If </t>
    </r>
    <r>
      <rPr>
        <b/>
        <i/>
        <sz val="18"/>
        <color theme="1"/>
        <rFont val="Aptos Light"/>
        <family val="2"/>
      </rPr>
      <t xml:space="preserve">Cases </t>
    </r>
    <r>
      <rPr>
        <sz val="18"/>
        <color theme="1"/>
        <rFont val="Aptos Light"/>
        <family val="2"/>
      </rPr>
      <t>Selected</t>
    </r>
  </si>
  <si>
    <r>
      <t xml:space="preserve">If </t>
    </r>
    <r>
      <rPr>
        <b/>
        <i/>
        <sz val="18"/>
        <color theme="1"/>
        <rFont val="Aptos Light"/>
        <family val="2"/>
      </rPr>
      <t>Servings</t>
    </r>
    <r>
      <rPr>
        <sz val="18"/>
        <color theme="1"/>
        <rFont val="Aptos Light"/>
        <family val="2"/>
      </rPr>
      <t xml:space="preserve"> Selected</t>
    </r>
  </si>
  <si>
    <r>
      <t>Enter</t>
    </r>
    <r>
      <rPr>
        <b/>
        <sz val="14"/>
        <color theme="1"/>
        <rFont val="Aptos Light"/>
        <family val="2"/>
      </rPr>
      <t xml:space="preserve"> </t>
    </r>
    <r>
      <rPr>
        <sz val="14"/>
        <color theme="1"/>
        <rFont val="Aptos Light"/>
        <family val="2"/>
      </rPr>
      <t>"</t>
    </r>
    <r>
      <rPr>
        <b/>
        <sz val="14"/>
        <color theme="1"/>
        <rFont val="Aptos Light"/>
        <family val="2"/>
      </rPr>
      <t>Cases</t>
    </r>
    <r>
      <rPr>
        <sz val="14"/>
        <color theme="1"/>
        <rFont val="Aptos Light"/>
        <family val="2"/>
      </rPr>
      <t xml:space="preserve">" (Column S).
</t>
    </r>
    <r>
      <rPr>
        <b/>
        <i/>
        <sz val="14"/>
        <color theme="1"/>
        <rFont val="Aptos Light"/>
        <family val="2"/>
      </rPr>
      <t xml:space="preserve">
In order to balance your diversion</t>
    </r>
    <r>
      <rPr>
        <sz val="14"/>
        <color theme="1"/>
        <rFont val="Aptos Light"/>
        <family val="2"/>
      </rPr>
      <t xml:space="preserve"> the calculator will indicate how many cases of white or dark meat only products will need to be added.  Enter these in "</t>
    </r>
    <r>
      <rPr>
        <b/>
        <sz val="14"/>
        <color theme="1"/>
        <rFont val="Aptos Light"/>
        <family val="2"/>
      </rPr>
      <t>Cases</t>
    </r>
    <r>
      <rPr>
        <sz val="14"/>
        <color theme="1"/>
        <rFont val="Aptos Light"/>
        <family val="2"/>
      </rPr>
      <t>" (Column S).</t>
    </r>
  </si>
  <si>
    <r>
      <t>Enter</t>
    </r>
    <r>
      <rPr>
        <b/>
        <sz val="14"/>
        <color theme="1"/>
        <rFont val="Aptos Light"/>
        <family val="2"/>
      </rPr>
      <t xml:space="preserve"> </t>
    </r>
    <r>
      <rPr>
        <sz val="14"/>
        <color theme="1"/>
        <rFont val="Aptos Light"/>
        <family val="2"/>
      </rPr>
      <t>"</t>
    </r>
    <r>
      <rPr>
        <b/>
        <sz val="14"/>
        <color theme="1"/>
        <rFont val="Aptos Light"/>
        <family val="2"/>
      </rPr>
      <t>Servings per Occasion</t>
    </r>
    <r>
      <rPr>
        <sz val="14"/>
        <color theme="1"/>
        <rFont val="Aptos Light"/>
        <family val="2"/>
      </rPr>
      <t>" (Column L) &amp; enter the amount of times it will be menu'd, "</t>
    </r>
    <r>
      <rPr>
        <b/>
        <sz val="14"/>
        <color theme="1"/>
        <rFont val="Aptos Light"/>
        <family val="2"/>
      </rPr>
      <t>Occasions Served</t>
    </r>
    <r>
      <rPr>
        <sz val="14"/>
        <color theme="1"/>
        <rFont val="Aptos Light"/>
        <family val="2"/>
      </rPr>
      <t>" (Column M) for example: 1000 servings on 10 occasions.
The calculator will automatically convert to "</t>
    </r>
    <r>
      <rPr>
        <b/>
        <sz val="14"/>
        <color theme="1"/>
        <rFont val="Aptos Light"/>
        <family val="2"/>
      </rPr>
      <t>Cases Needed for Servings</t>
    </r>
    <r>
      <rPr>
        <sz val="14"/>
        <color theme="1"/>
        <rFont val="Aptos Light"/>
        <family val="2"/>
      </rPr>
      <t xml:space="preserve">" (Column N).
</t>
    </r>
    <r>
      <rPr>
        <b/>
        <i/>
        <sz val="14"/>
        <color theme="1"/>
        <rFont val="Aptos Light"/>
        <family val="2"/>
      </rPr>
      <t>In order to balance your diversion</t>
    </r>
    <r>
      <rPr>
        <sz val="14"/>
        <color theme="1"/>
        <rFont val="Aptos Light"/>
        <family val="2"/>
      </rPr>
      <t xml:space="preserve"> the calculator will indicate how many cases of white or dark meat only products will need to be added.  Enter these in "</t>
    </r>
    <r>
      <rPr>
        <b/>
        <sz val="14"/>
        <color theme="1"/>
        <rFont val="Aptos Light"/>
        <family val="2"/>
      </rPr>
      <t>Enter Cases to Balance Diversion</t>
    </r>
    <r>
      <rPr>
        <sz val="14"/>
        <color theme="1"/>
        <rFont val="Aptos Light"/>
        <family val="2"/>
      </rPr>
      <t>" (Column O). Do not enter "</t>
    </r>
    <r>
      <rPr>
        <b/>
        <sz val="14"/>
        <color theme="1"/>
        <rFont val="Aptos Light"/>
        <family val="2"/>
      </rPr>
      <t>Sevings per Occasion" or "Occasions served".</t>
    </r>
  </si>
  <si>
    <t>Product and Case Qty. options to balance diversion:</t>
  </si>
  <si>
    <r>
      <t xml:space="preserve">Instructions: Enter your estimated monthly case uses until </t>
    </r>
    <r>
      <rPr>
        <b/>
        <sz val="20"/>
        <rFont val="Aptos Light"/>
        <family val="2"/>
      </rPr>
      <t>"Unplanned"</t>
    </r>
    <r>
      <rPr>
        <sz val="20"/>
        <rFont val="Aptos Light"/>
        <family val="2"/>
      </rPr>
      <t xml:space="preserve"> (Column G) is zero.</t>
    </r>
  </si>
  <si>
    <t>School District</t>
  </si>
  <si>
    <t>Name</t>
  </si>
  <si>
    <t>Email</t>
  </si>
  <si>
    <t>Phone Number</t>
  </si>
  <si>
    <t>Return to your broker or send to: commodity@richchicks.com</t>
  </si>
  <si>
    <t>Please enter your contact information: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</si>
</sst>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6"/>
      <color theme="1"/>
      <name val="Aptos Display"/>
      <family val="2"/>
    </font>
    <font>
      <sz val="11"/>
      <color theme="1"/>
      <name val="Aptos Light"/>
      <family val="2"/>
    </font>
    <font>
      <sz val="12"/>
      <color theme="1"/>
      <name val="Aptos Light"/>
      <family val="2"/>
    </font>
    <font>
      <b/>
      <sz val="14"/>
      <color theme="1"/>
      <name val="Aptos Light"/>
      <family val="2"/>
    </font>
    <font>
      <b/>
      <sz val="11"/>
      <color theme="0"/>
      <name val="Calibri"/>
      <family val="2"/>
      <scheme val="minor"/>
    </font>
    <font>
      <sz val="14"/>
      <color theme="1"/>
      <name val="Aptos Light"/>
      <family val="2"/>
    </font>
    <font>
      <b/>
      <sz val="16"/>
      <color theme="0"/>
      <name val="Aptos Light"/>
      <family val="2"/>
    </font>
    <font>
      <sz val="16"/>
      <color theme="0"/>
      <name val="Aptos Light"/>
      <family val="2"/>
    </font>
    <font>
      <sz val="10"/>
      <color theme="1"/>
      <name val="Aptos Light"/>
      <family val="2"/>
    </font>
    <font>
      <b/>
      <sz val="20"/>
      <color theme="0"/>
      <name val="Aptos Light"/>
      <family val="2"/>
    </font>
    <font>
      <sz val="14"/>
      <name val="Aptos Light"/>
      <family val="2"/>
    </font>
    <font>
      <b/>
      <sz val="16"/>
      <color theme="9" tint="-0.499984740745262"/>
      <name val="Aptos Display"/>
      <family val="2"/>
    </font>
    <font>
      <b/>
      <sz val="16"/>
      <color theme="1"/>
      <name val="Aptos Light"/>
      <family val="2"/>
    </font>
    <font>
      <b/>
      <i/>
      <sz val="16"/>
      <color theme="0"/>
      <name val="Aptos Light"/>
      <family val="2"/>
    </font>
    <font>
      <i/>
      <sz val="11"/>
      <color theme="1"/>
      <name val="Aptos Light"/>
      <family val="2"/>
    </font>
    <font>
      <b/>
      <sz val="18"/>
      <color theme="0"/>
      <name val="Aptos Light"/>
      <family val="2"/>
    </font>
    <font>
      <b/>
      <sz val="12"/>
      <color theme="1"/>
      <name val="Aptos Light"/>
      <family val="2"/>
    </font>
    <font>
      <b/>
      <sz val="11"/>
      <color theme="1"/>
      <name val="Aptos Light"/>
      <family val="2"/>
    </font>
    <font>
      <sz val="12"/>
      <name val="Aptos Light"/>
      <family val="2"/>
    </font>
    <font>
      <b/>
      <i/>
      <sz val="12"/>
      <color rgb="FFFF0000"/>
      <name val="Aptos Light"/>
      <family val="2"/>
    </font>
    <font>
      <b/>
      <i/>
      <sz val="12"/>
      <name val="Aptos Light"/>
      <family val="2"/>
    </font>
    <font>
      <b/>
      <i/>
      <sz val="12"/>
      <color rgb="FF00B050"/>
      <name val="Aptos Light"/>
      <family val="2"/>
    </font>
    <font>
      <b/>
      <i/>
      <sz val="12"/>
      <color theme="1"/>
      <name val="Aptos Light"/>
      <family val="2"/>
    </font>
    <font>
      <b/>
      <i/>
      <sz val="12"/>
      <color rgb="FF7030A0"/>
      <name val="Aptos Light"/>
      <family val="2"/>
    </font>
    <font>
      <b/>
      <sz val="14"/>
      <color theme="9" tint="-0.499984740745262"/>
      <name val="Aptos Light"/>
      <family val="2"/>
    </font>
    <font>
      <sz val="18"/>
      <color theme="1"/>
      <name val="Aptos Light"/>
      <family val="2"/>
    </font>
    <font>
      <b/>
      <sz val="18"/>
      <color theme="1"/>
      <name val="Aptos Light"/>
      <family val="2"/>
    </font>
    <font>
      <sz val="18"/>
      <color theme="1"/>
      <name val="Calibri"/>
      <family val="2"/>
      <scheme val="minor"/>
    </font>
    <font>
      <sz val="16"/>
      <name val="Aptos Light"/>
      <family val="2"/>
    </font>
    <font>
      <b/>
      <sz val="16"/>
      <name val="Aptos Light"/>
      <family val="2"/>
    </font>
    <font>
      <b/>
      <sz val="20"/>
      <color theme="1"/>
      <name val="Aptos Light"/>
      <family val="2"/>
    </font>
    <font>
      <b/>
      <sz val="20"/>
      <name val="Aptos Light"/>
      <family val="2"/>
    </font>
    <font>
      <sz val="20"/>
      <name val="Aptos Light"/>
      <family val="2"/>
    </font>
    <font>
      <b/>
      <i/>
      <sz val="18"/>
      <color theme="1"/>
      <name val="Aptos Light"/>
      <family val="2"/>
    </font>
    <font>
      <b/>
      <i/>
      <sz val="14"/>
      <color theme="1"/>
      <name val="Aptos Light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Aptos"/>
      <family val="2"/>
    </font>
    <font>
      <sz val="12"/>
      <color theme="1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8452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horizontal="center"/>
    </xf>
    <xf numFmtId="43" fontId="8" fillId="4" borderId="0" xfId="1" applyFont="1" applyFill="1"/>
    <xf numFmtId="0" fontId="5" fillId="0" borderId="0" xfId="0" applyFont="1"/>
    <xf numFmtId="0" fontId="5" fillId="0" borderId="0" xfId="0" applyFont="1" applyAlignment="1">
      <alignment horizontal="left"/>
    </xf>
    <xf numFmtId="0" fontId="13" fillId="3" borderId="0" xfId="0" applyFont="1" applyFill="1" applyAlignment="1">
      <alignment vertical="center"/>
    </xf>
    <xf numFmtId="0" fontId="18" fillId="5" borderId="0" xfId="0" applyFont="1" applyFill="1" applyAlignment="1">
      <alignment vertical="center" wrapText="1"/>
    </xf>
    <xf numFmtId="0" fontId="5" fillId="0" borderId="0" xfId="0" applyFont="1" applyAlignment="1">
      <alignment horizontal="left" wrapText="1"/>
    </xf>
    <xf numFmtId="3" fontId="5" fillId="0" borderId="0" xfId="0" applyNumberFormat="1" applyFont="1" applyAlignment="1">
      <alignment wrapText="1"/>
    </xf>
    <xf numFmtId="164" fontId="5" fillId="0" borderId="0" xfId="0" applyNumberFormat="1" applyFont="1"/>
    <xf numFmtId="0" fontId="0" fillId="0" borderId="0" xfId="0" applyAlignment="1">
      <alignment horizontal="left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center" vertical="center"/>
      <protection locked="0"/>
    </xf>
    <xf numFmtId="0" fontId="22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5" fillId="0" borderId="0" xfId="0" applyNumberFormat="1" applyFont="1"/>
    <xf numFmtId="164" fontId="5" fillId="0" borderId="0" xfId="0" applyNumberFormat="1" applyFont="1" applyAlignment="1">
      <alignment horizontal="right"/>
    </xf>
    <xf numFmtId="43" fontId="0" fillId="0" borderId="0" xfId="0" applyNumberFormat="1"/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8" borderId="0" xfId="0" applyFill="1"/>
    <xf numFmtId="0" fontId="30" fillId="0" borderId="28" xfId="0" applyFont="1" applyBorder="1" applyAlignment="1">
      <alignment horizontal="center"/>
    </xf>
    <xf numFmtId="0" fontId="31" fillId="0" borderId="0" xfId="0" applyFont="1"/>
    <xf numFmtId="4" fontId="29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34" fillId="0" borderId="15" xfId="0" applyNumberFormat="1" applyFont="1" applyBorder="1" applyAlignment="1">
      <alignment horizontal="center" vertical="center" wrapText="1"/>
    </xf>
    <xf numFmtId="3" fontId="34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2" fillId="0" borderId="0" xfId="0" applyFont="1" applyAlignment="1">
      <alignment horizontal="right" vertical="center"/>
    </xf>
    <xf numFmtId="0" fontId="1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16" fillId="0" borderId="0" xfId="0" applyFont="1" applyAlignment="1">
      <alignment horizontal="center" wrapText="1"/>
    </xf>
    <xf numFmtId="0" fontId="5" fillId="6" borderId="2" xfId="0" applyFont="1" applyFill="1" applyBorder="1"/>
    <xf numFmtId="0" fontId="5" fillId="6" borderId="5" xfId="0" applyFont="1" applyFill="1" applyBorder="1" applyAlignment="1">
      <alignment horizontal="center"/>
    </xf>
    <xf numFmtId="0" fontId="13" fillId="6" borderId="5" xfId="0" applyFont="1" applyFill="1" applyBorder="1" applyAlignment="1">
      <alignment vertical="center"/>
    </xf>
    <xf numFmtId="0" fontId="5" fillId="6" borderId="3" xfId="0" applyFont="1" applyFill="1" applyBorder="1"/>
    <xf numFmtId="0" fontId="5" fillId="6" borderId="5" xfId="0" applyFont="1" applyFill="1" applyBorder="1"/>
    <xf numFmtId="0" fontId="19" fillId="6" borderId="5" xfId="0" applyFont="1" applyFill="1" applyBorder="1" applyAlignment="1">
      <alignment horizontal="center" vertical="center"/>
    </xf>
    <xf numFmtId="0" fontId="6" fillId="6" borderId="6" xfId="0" applyFont="1" applyFill="1" applyBorder="1"/>
    <xf numFmtId="0" fontId="20" fillId="0" borderId="2" xfId="0" applyFont="1" applyBorder="1" applyAlignment="1">
      <alignment horizontal="left" vertical="center" wrapText="1"/>
    </xf>
    <xf numFmtId="0" fontId="20" fillId="0" borderId="5" xfId="0" applyFont="1" applyBorder="1" applyAlignment="1">
      <alignment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left" vertical="center" wrapText="1"/>
    </xf>
    <xf numFmtId="0" fontId="5" fillId="6" borderId="7" xfId="0" applyFont="1" applyFill="1" applyBorder="1"/>
    <xf numFmtId="0" fontId="20" fillId="0" borderId="2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6" borderId="7" xfId="0" applyFont="1" applyFill="1" applyBorder="1"/>
    <xf numFmtId="0" fontId="20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0" fontId="22" fillId="0" borderId="6" xfId="0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166" fontId="6" fillId="0" borderId="7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center"/>
    </xf>
    <xf numFmtId="0" fontId="6" fillId="0" borderId="7" xfId="0" applyFont="1" applyBorder="1"/>
    <xf numFmtId="0" fontId="6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6" borderId="6" xfId="0" applyFont="1" applyFill="1" applyBorder="1"/>
    <xf numFmtId="2" fontId="6" fillId="0" borderId="7" xfId="0" applyNumberFormat="1" applyFont="1" applyBorder="1" applyAlignment="1">
      <alignment horizontal="center" vertical="center"/>
    </xf>
    <xf numFmtId="0" fontId="12" fillId="0" borderId="0" xfId="0" applyFont="1"/>
    <xf numFmtId="0" fontId="12" fillId="6" borderId="6" xfId="0" applyFont="1" applyFill="1" applyBorder="1"/>
    <xf numFmtId="0" fontId="12" fillId="6" borderId="7" xfId="0" applyFont="1" applyFill="1" applyBorder="1"/>
    <xf numFmtId="0" fontId="6" fillId="0" borderId="8" xfId="0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3" fontId="6" fillId="0" borderId="15" xfId="0" applyNumberFormat="1" applyFont="1" applyBorder="1" applyAlignment="1">
      <alignment horizontal="center" vertical="center"/>
    </xf>
    <xf numFmtId="0" fontId="5" fillId="6" borderId="8" xfId="0" applyFont="1" applyFill="1" applyBorder="1"/>
    <xf numFmtId="0" fontId="5" fillId="6" borderId="9" xfId="0" applyFont="1" applyFill="1" applyBorder="1" applyAlignment="1">
      <alignment horizontal="center"/>
    </xf>
    <xf numFmtId="0" fontId="5" fillId="6" borderId="9" xfId="0" applyFont="1" applyFill="1" applyBorder="1"/>
    <xf numFmtId="0" fontId="5" fillId="6" borderId="9" xfId="0" applyFont="1" applyFill="1" applyBorder="1" applyAlignment="1">
      <alignment horizontal="left"/>
    </xf>
    <xf numFmtId="0" fontId="5" fillId="6" borderId="10" xfId="0" applyFont="1" applyFill="1" applyBorder="1"/>
    <xf numFmtId="3" fontId="6" fillId="2" borderId="6" xfId="0" applyNumberFormat="1" applyFont="1" applyFill="1" applyBorder="1" applyAlignment="1" applyProtection="1">
      <alignment horizontal="center" vertical="center"/>
      <protection locked="0"/>
    </xf>
    <xf numFmtId="3" fontId="6" fillId="2" borderId="8" xfId="0" applyNumberFormat="1" applyFont="1" applyFill="1" applyBorder="1" applyAlignment="1" applyProtection="1">
      <alignment horizontal="center" vertical="center"/>
      <protection locked="0"/>
    </xf>
    <xf numFmtId="3" fontId="6" fillId="2" borderId="14" xfId="0" applyNumberFormat="1" applyFont="1" applyFill="1" applyBorder="1" applyAlignment="1" applyProtection="1">
      <alignment horizontal="center" vertical="center"/>
      <protection locked="0"/>
    </xf>
    <xf numFmtId="3" fontId="6" fillId="2" borderId="4" xfId="0" applyNumberFormat="1" applyFont="1" applyFill="1" applyBorder="1" applyAlignment="1" applyProtection="1">
      <alignment horizontal="center" vertical="center"/>
      <protection locked="0"/>
    </xf>
    <xf numFmtId="3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6" borderId="6" xfId="0" applyFont="1" applyFill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3" fontId="9" fillId="0" borderId="17" xfId="0" applyNumberFormat="1" applyFont="1" applyBorder="1" applyAlignment="1">
      <alignment horizontal="center" vertical="center"/>
    </xf>
    <xf numFmtId="0" fontId="9" fillId="6" borderId="7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3" fontId="9" fillId="0" borderId="16" xfId="0" applyNumberFormat="1" applyFont="1" applyBorder="1" applyAlignment="1">
      <alignment horizontal="center" vertical="center"/>
    </xf>
    <xf numFmtId="0" fontId="10" fillId="7" borderId="6" xfId="0" applyFont="1" applyFill="1" applyBorder="1" applyAlignment="1">
      <alignment horizontal="left" vertical="center"/>
    </xf>
    <xf numFmtId="0" fontId="11" fillId="7" borderId="0" xfId="0" applyFont="1" applyFill="1" applyAlignment="1">
      <alignment vertical="center" wrapText="1"/>
    </xf>
    <xf numFmtId="3" fontId="11" fillId="7" borderId="16" xfId="0" applyNumberFormat="1" applyFont="1" applyFill="1" applyBorder="1" applyAlignment="1">
      <alignment horizontal="center" vertical="center"/>
    </xf>
    <xf numFmtId="3" fontId="11" fillId="7" borderId="0" xfId="0" applyNumberFormat="1" applyFont="1" applyFill="1" applyAlignment="1">
      <alignment horizontal="center" vertical="center"/>
    </xf>
    <xf numFmtId="0" fontId="11" fillId="7" borderId="25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left" vertical="center"/>
    </xf>
    <xf numFmtId="0" fontId="11" fillId="7" borderId="9" xfId="0" applyFont="1" applyFill="1" applyBorder="1" applyAlignment="1">
      <alignment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/>
      <protection locked="0"/>
    </xf>
    <xf numFmtId="0" fontId="20" fillId="0" borderId="1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right" vertical="center" wrapText="1"/>
    </xf>
    <xf numFmtId="0" fontId="33" fillId="2" borderId="13" xfId="0" applyFont="1" applyFill="1" applyBorder="1" applyAlignment="1" applyProtection="1">
      <alignment horizontal="center" vertical="center"/>
      <protection locked="0"/>
    </xf>
    <xf numFmtId="0" fontId="29" fillId="0" borderId="30" xfId="0" applyFont="1" applyBorder="1" applyAlignment="1">
      <alignment horizontal="right" vertical="top" wrapText="1"/>
    </xf>
    <xf numFmtId="0" fontId="29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16" fillId="0" borderId="0" xfId="0" applyFont="1" applyAlignment="1">
      <alignment vertical="top"/>
    </xf>
    <xf numFmtId="0" fontId="41" fillId="3" borderId="0" xfId="0" applyFont="1" applyFill="1"/>
    <xf numFmtId="0" fontId="39" fillId="3" borderId="0" xfId="0" applyFont="1" applyFill="1"/>
    <xf numFmtId="0" fontId="42" fillId="3" borderId="0" xfId="0" applyFont="1" applyFill="1" applyAlignment="1">
      <alignment horizontal="right"/>
    </xf>
    <xf numFmtId="0" fontId="0" fillId="3" borderId="0" xfId="0" applyFill="1"/>
    <xf numFmtId="0" fontId="9" fillId="3" borderId="0" xfId="0" applyFont="1" applyFill="1"/>
    <xf numFmtId="0" fontId="7" fillId="3" borderId="0" xfId="0" applyFont="1" applyFill="1" applyAlignment="1">
      <alignment horizontal="right"/>
    </xf>
    <xf numFmtId="4" fontId="7" fillId="3" borderId="0" xfId="0" applyNumberFormat="1" applyFont="1" applyFill="1" applyAlignment="1">
      <alignment horizontal="right"/>
    </xf>
    <xf numFmtId="0" fontId="28" fillId="3" borderId="0" xfId="0" applyFont="1" applyFill="1" applyAlignment="1">
      <alignment horizontal="right"/>
    </xf>
    <xf numFmtId="165" fontId="28" fillId="3" borderId="0" xfId="0" applyNumberFormat="1" applyFont="1" applyFill="1"/>
    <xf numFmtId="0" fontId="9" fillId="3" borderId="0" xfId="0" applyFont="1" applyFill="1" applyAlignment="1">
      <alignment horizontal="right"/>
    </xf>
    <xf numFmtId="4" fontId="9" fillId="3" borderId="0" xfId="0" applyNumberFormat="1" applyFont="1" applyFill="1"/>
    <xf numFmtId="4" fontId="9" fillId="3" borderId="0" xfId="0" applyNumberFormat="1" applyFont="1" applyFill="1" applyAlignment="1">
      <alignment horizontal="right"/>
    </xf>
    <xf numFmtId="4" fontId="9" fillId="3" borderId="28" xfId="0" applyNumberFormat="1" applyFont="1" applyFill="1" applyBorder="1"/>
    <xf numFmtId="4" fontId="9" fillId="3" borderId="28" xfId="0" applyNumberFormat="1" applyFont="1" applyFill="1" applyBorder="1" applyAlignment="1">
      <alignment horizontal="right"/>
    </xf>
    <xf numFmtId="10" fontId="21" fillId="3" borderId="0" xfId="3" applyNumberFormat="1" applyFont="1" applyFill="1" applyBorder="1" applyAlignment="1" applyProtection="1">
      <alignment horizontal="right"/>
    </xf>
    <xf numFmtId="0" fontId="40" fillId="3" borderId="0" xfId="0" applyFont="1" applyFill="1" applyAlignment="1">
      <alignment horizontal="left"/>
    </xf>
    <xf numFmtId="0" fontId="36" fillId="9" borderId="12" xfId="0" applyFont="1" applyFill="1" applyBorder="1" applyAlignment="1">
      <alignment horizontal="right" vertical="center"/>
    </xf>
    <xf numFmtId="0" fontId="36" fillId="9" borderId="13" xfId="0" applyFont="1" applyFill="1" applyBorder="1" applyAlignment="1">
      <alignment horizontal="right" vertical="center"/>
    </xf>
    <xf numFmtId="0" fontId="36" fillId="3" borderId="9" xfId="0" applyFont="1" applyFill="1" applyBorder="1" applyAlignment="1">
      <alignment horizontal="center"/>
    </xf>
    <xf numFmtId="0" fontId="29" fillId="5" borderId="0" xfId="0" applyFont="1" applyFill="1" applyAlignment="1">
      <alignment horizontal="center"/>
    </xf>
    <xf numFmtId="0" fontId="39" fillId="2" borderId="0" xfId="0" applyFont="1" applyFill="1" applyAlignment="1" applyProtection="1">
      <alignment horizontal="left"/>
      <protection locked="0"/>
    </xf>
  </cellXfs>
  <cellStyles count="4">
    <cellStyle name="Comma" xfId="1" builtinId="3"/>
    <cellStyle name="Normal" xfId="0" builtinId="0"/>
    <cellStyle name="Normal 2" xfId="2" xr:uid="{00000000-0005-0000-0000-000003000000}"/>
    <cellStyle name="Percent" xfId="3" builtinId="5"/>
  </cellStyles>
  <dxfs count="45">
    <dxf>
      <font>
        <b/>
        <i val="0"/>
        <color rgb="FFFF0000"/>
      </font>
      <fill>
        <patternFill patternType="none">
          <bgColor auto="1"/>
        </patternFill>
      </fill>
    </dxf>
    <dxf>
      <font>
        <color auto="1"/>
      </font>
      <fill>
        <patternFill patternType="lightDown">
          <fgColor auto="1"/>
          <bgColor theme="2"/>
        </patternFill>
      </fill>
    </dxf>
    <dxf>
      <font>
        <color auto="1"/>
      </font>
      <fill>
        <patternFill patternType="lightUp">
          <fgColor auto="1"/>
          <bgColor theme="2" tint="-0.499984740745262"/>
        </patternFill>
      </fill>
    </dxf>
    <dxf>
      <font>
        <color auto="1"/>
      </font>
      <fill>
        <patternFill patternType="lightDown">
          <fgColor auto="1"/>
          <bgColor theme="2"/>
        </patternFill>
      </fill>
    </dxf>
    <dxf>
      <font>
        <color auto="1"/>
      </font>
      <fill>
        <patternFill patternType="lightUp">
          <bgColor theme="2"/>
        </patternFill>
      </fill>
    </dxf>
    <dxf>
      <font>
        <color auto="1"/>
      </font>
      <fill>
        <patternFill patternType="lightUp">
          <fgColor auto="1"/>
          <bgColor theme="2" tint="-0.499984740745262"/>
        </patternFill>
      </fill>
    </dxf>
    <dxf>
      <numFmt numFmtId="165" formatCode="&quot;$&quot;#,##0.00"/>
      <alignment horizontal="center" vertical="bottom" textRotation="0" wrapText="0" indent="0" justifyLastLine="0" shrinkToFit="0" readingOrder="0"/>
    </dxf>
    <dxf>
      <numFmt numFmtId="165" formatCode="&quot;$&quot;#,##0.0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&quot;$&quot;#,##0.00"/>
      <alignment horizontal="center" textRotation="0" indent="0" justifyLastLine="0" shrinkToFit="0" readingOrder="0"/>
    </dxf>
    <dxf>
      <numFmt numFmtId="35" formatCode="_(* #,##0.00_);_(* \(#,##0.00\);_(* &quot;-&quot;??_);_(@_)"/>
    </dxf>
    <dxf>
      <numFmt numFmtId="2" formatCode="0.00"/>
    </dxf>
    <dxf>
      <numFmt numFmtId="35" formatCode="_(* #,##0.00_);_(* \(#,##0.00\);_(* &quot;-&quot;??_);_(@_)"/>
    </dxf>
    <dxf>
      <numFmt numFmtId="2" formatCode="0.00"/>
    </dxf>
    <dxf>
      <numFmt numFmtId="35" formatCode="_(* #,##0.00_);_(* \(#,##0.00\);_(* &quot;-&quot;??_);_(@_)"/>
    </dxf>
    <dxf>
      <numFmt numFmtId="2" formatCode="0.0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z val="12"/>
        <name val="Aptos Light"/>
        <family val="2"/>
        <scheme val="none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textRotation="0" indent="0" justifyLastLine="0" shrinkToFit="0" readingOrder="0"/>
    </dxf>
    <dxf>
      <numFmt numFmtId="1" formatCode="0"/>
    </dxf>
    <dxf>
      <alignment horizontal="left" vertical="center" textRotation="0" wrapText="1" indent="0" justifyLastLine="0" shrinkToFit="0" readingOrder="0"/>
    </dxf>
    <dxf>
      <numFmt numFmtId="165" formatCode="&quot;$&quot;#,##0.00"/>
      <alignment horizontal="center" vertical="bottom" textRotation="0" wrapText="0" indent="0" justifyLastLine="0" shrinkToFit="0" readingOrder="0"/>
    </dxf>
    <dxf>
      <numFmt numFmtId="165" formatCode="&quot;$&quot;#,##0.00"/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5" formatCode="&quot;$&quot;#,##0.00"/>
      <alignment horizontal="center" textRotation="0" indent="0" justifyLastLine="0" shrinkToFit="0" readingOrder="0"/>
    </dxf>
    <dxf>
      <numFmt numFmtId="35" formatCode="_(* #,##0.00_);_(* \(#,##0.00\);_(* &quot;-&quot;??_);_(@_)"/>
    </dxf>
    <dxf>
      <numFmt numFmtId="2" formatCode="0.00"/>
    </dxf>
    <dxf>
      <numFmt numFmtId="35" formatCode="_(* #,##0.00_);_(* \(#,##0.00\);_(* &quot;-&quot;??_);_(@_)"/>
    </dxf>
    <dxf>
      <numFmt numFmtId="2" formatCode="0.00"/>
    </dxf>
    <dxf>
      <numFmt numFmtId="35" formatCode="_(* #,##0.00_);_(* \(#,##0.00\);_(* &quot;-&quot;??_);_(@_)"/>
    </dxf>
    <dxf>
      <numFmt numFmtId="2" formatCode="0.0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2"/>
        <name val="Aptos Light"/>
        <family val="2"/>
        <scheme val="none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textRotation="0" indent="0" justifyLastLine="0" shrinkToFit="0" readingOrder="0"/>
    </dxf>
    <dxf>
      <numFmt numFmtId="1" formatCode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E84520"/>
      <color rgb="FFFF5050"/>
      <color rgb="FFFF7C80"/>
      <color rgb="FFCF4520"/>
      <color rgb="FFF39619"/>
      <color rgb="FFEAAA00"/>
      <color rgb="FFFF5B5B"/>
      <color rgb="FFCC6600"/>
      <color rgb="FF623412"/>
      <color rgb="FFEA8F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98535</xdr:colOff>
      <xdr:row>0</xdr:row>
      <xdr:rowOff>0</xdr:rowOff>
    </xdr:from>
    <xdr:to>
      <xdr:col>25</xdr:col>
      <xdr:colOff>56521</xdr:colOff>
      <xdr:row>4</xdr:row>
      <xdr:rowOff>947058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D029F88-D533-3F9C-8849-80DD41F29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35221" y="0"/>
          <a:ext cx="3876843" cy="19703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11614</xdr:colOff>
          <xdr:row>6</xdr:row>
          <xdr:rowOff>172284</xdr:rowOff>
        </xdr:from>
        <xdr:to>
          <xdr:col>13</xdr:col>
          <xdr:colOff>233260</xdr:colOff>
          <xdr:row>6</xdr:row>
          <xdr:rowOff>1088801</xdr:rowOff>
        </xdr:to>
        <xdr:pic>
          <xdr:nvPicPr>
            <xdr:cNvPr id="4" name="Picture 3">
              <a:extLst>
                <a:ext uri="{FF2B5EF4-FFF2-40B4-BE49-F238E27FC236}">
                  <a16:creationId xmlns:a16="http://schemas.microsoft.com/office/drawing/2014/main" id="{EC157854-3E26-8E59-F83E-90512DEF6B6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onversions!$AG$55:$AI$57" spid="_x0000_s1386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 bwMode="auto">
            <a:xfrm>
              <a:off x="9231814" y="4025827"/>
              <a:ext cx="4935160" cy="916517"/>
            </a:xfrm>
            <a:prstGeom prst="rect">
              <a:avLst/>
            </a:prstGeom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25703</xdr:colOff>
          <xdr:row>4</xdr:row>
          <xdr:rowOff>324754</xdr:rowOff>
        </xdr:from>
        <xdr:to>
          <xdr:col>14</xdr:col>
          <xdr:colOff>986065</xdr:colOff>
          <xdr:row>6</xdr:row>
          <xdr:rowOff>85450</xdr:rowOff>
        </xdr:to>
        <xdr:pic>
          <xdr:nvPicPr>
            <xdr:cNvPr id="8" name="Picture 7">
              <a:extLst>
                <a:ext uri="{FF2B5EF4-FFF2-40B4-BE49-F238E27FC236}">
                  <a16:creationId xmlns:a16="http://schemas.microsoft.com/office/drawing/2014/main" id="{34C3A0DC-0D7D-C961-FEB7-5B7DC0D2FDF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onversions!$AN$60:$AV$66" spid="_x0000_s1387"/>
                </a:ext>
              </a:extLst>
            </xdr:cNvPicPr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 bwMode="auto">
            <a:xfrm>
              <a:off x="9245903" y="1348011"/>
              <a:ext cx="6675362" cy="2590982"/>
            </a:xfrm>
            <a:prstGeom prst="rect">
              <a:avLst/>
            </a:prstGeom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152680</xdr:colOff>
      <xdr:row>0</xdr:row>
      <xdr:rowOff>203134</xdr:rowOff>
    </xdr:from>
    <xdr:to>
      <xdr:col>3</xdr:col>
      <xdr:colOff>420703</xdr:colOff>
      <xdr:row>1</xdr:row>
      <xdr:rowOff>904874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F19A1E-A505-4BEF-A2C5-A1D29EE3A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805" y="203134"/>
          <a:ext cx="1946804" cy="939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676321</xdr:colOff>
      <xdr:row>9</xdr:row>
      <xdr:rowOff>152400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6185D14-BB7C-16FD-1CA2-53A4C180E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013880" cy="21336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17E7ACC-83E2-40F0-B322-515DAFA85E12}" name="Table29" displayName="Table29" ref="H5:Q50" totalsRowCount="1" headerRowDxfId="44">
  <autoFilter ref="H5:Q49" xr:uid="{717E7ACC-83E2-40F0-B322-515DAFA85E12}"/>
  <sortState xmlns:xlrd2="http://schemas.microsoft.com/office/spreadsheetml/2017/richdata2" ref="H6:Q49">
    <sortCondition ref="H5:H49"/>
  </sortState>
  <tableColumns count="10">
    <tableColumn id="12" xr3:uid="{267A887B-CA15-4901-A47E-DF97E2E9D391}" name="Column1" dataDxfId="43"/>
    <tableColumn id="1" xr3:uid="{C81E10C7-9820-4744-A5FD-8808B1F6B1C8}" name="Product Code" totalsRowLabel="Total" dataDxfId="42" totalsRowDxfId="41"/>
    <tableColumn id="5" xr3:uid="{603FA18D-106E-45E5-B5AB-056D95929668}" name="Product Description" dataDxfId="40" totalsRowDxfId="39"/>
    <tableColumn id="6" xr3:uid="{C27A52F9-DADC-4A08-BBD1-0D77F931E57D}" name="Cases Entered" dataDxfId="38" totalsRowDxfId="37"/>
    <tableColumn id="2" xr3:uid="{803AEBB4-7029-4FA7-9ABC-D6CE97FED8C5}" name="DF LBS WHITE" dataDxfId="36" totalsRowDxfId="35"/>
    <tableColumn id="7" xr3:uid="{47DBC461-EA8B-48A1-B890-5F8519F301F6}" name="TOTAL DF LBS WHITE" totalsRowFunction="sum" dataDxfId="34" totalsRowDxfId="33">
      <calculatedColumnFormula>Table29[[#This Row],[DF LBS WHITE]]*Table29[[#This Row],[Cases Entered]]</calculatedColumnFormula>
    </tableColumn>
    <tableColumn id="4" xr3:uid="{FA9719B2-2102-4B0E-87EE-56B845D54E9B}" name="DF LBS DARK" dataDxfId="32" totalsRowDxfId="31"/>
    <tableColumn id="10" xr3:uid="{2FC4B900-0EBA-4439-87BC-84BF16D6D75F}" name="TOTAL DF LBS DARK" totalsRowFunction="sum" dataDxfId="30" totalsRowDxfId="29">
      <calculatedColumnFormula>Table29[[#This Row],[Cases Entered]]*Table29[[#This Row],[DF LBS DARK]]</calculatedColumnFormula>
    </tableColumn>
    <tableColumn id="3" xr3:uid="{3D40A6A7-6B79-4C44-B933-F11FF1B64266}" name="DF $" dataDxfId="28" totalsRowDxfId="27"/>
    <tableColumn id="8" xr3:uid="{1B508F66-F2AC-4219-A891-E98D59637B46}" name="TOTAL DF $" totalsRowFunction="sum" dataDxfId="26" totalsRowDxfId="25">
      <calculatedColumnFormula>Table29[[#This Row],[DF $]]*Table29[[#This Row],[Cases Entered]]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F4C2CE-8016-4654-8ED0-847EEC3507E9}" name="Table292" displayName="Table292" ref="S5:AB50" totalsRowCount="1" headerRowDxfId="24">
  <autoFilter ref="S5:AB49" xr:uid="{E5F4C2CE-8016-4654-8ED0-847EEC3507E9}"/>
  <sortState xmlns:xlrd2="http://schemas.microsoft.com/office/spreadsheetml/2017/richdata2" ref="T6:AB49">
    <sortCondition ref="T5:T49"/>
  </sortState>
  <tableColumns count="10">
    <tableColumn id="9" xr3:uid="{906C2D47-DCE1-4CAA-8F3D-A8A431B00DB9}" name="Column1" dataDxfId="23"/>
    <tableColumn id="1" xr3:uid="{FF47D2DA-A88D-4275-92A1-D341666AA115}" name="Product Code" totalsRowLabel="Total" dataDxfId="22" totalsRowDxfId="21"/>
    <tableColumn id="5" xr3:uid="{04D0F719-D856-406B-82E8-DE0C22D6E772}" name="Product Description" dataDxfId="20"/>
    <tableColumn id="6" xr3:uid="{137997FC-44AD-4B94-9737-5ED194866EBE}" name="Cases Entered" dataDxfId="19" totalsRowDxfId="18">
      <calculatedColumnFormula>_xlfn.XLOOKUP(Table292[[#This Row],[Product Code]],Calculator!$C$13:$C$55,Calculator!$S$13:$S$55)</calculatedColumnFormula>
    </tableColumn>
    <tableColumn id="2" xr3:uid="{D443C603-80C8-4B39-9534-AFD2F7413A7D}" name="DF LBS WHITE" dataDxfId="17" totalsRowDxfId="16"/>
    <tableColumn id="7" xr3:uid="{7D0CE4FC-462B-4198-B616-458157F1D6F6}" name="TOTAL DF LBS WHITE" totalsRowFunction="sum" dataDxfId="15" totalsRowDxfId="14">
      <calculatedColumnFormula>Table292[[#This Row],[DF LBS WHITE]]*Table292[[#This Row],[Cases Entered]]</calculatedColumnFormula>
    </tableColumn>
    <tableColumn id="4" xr3:uid="{84FFD356-7914-41D4-BB1F-5E6BFDDA7E63}" name="DF LBS DARK" dataDxfId="13" totalsRowDxfId="12"/>
    <tableColumn id="10" xr3:uid="{2CC99B5F-0FFD-4BCD-9574-6A64DFA9BFBD}" name="TOTAL DF LBS DARK" totalsRowFunction="sum" dataDxfId="11" totalsRowDxfId="10">
      <calculatedColumnFormula>Table292[[#This Row],[Cases Entered]]*Table292[[#This Row],[DF LBS DARK]]</calculatedColumnFormula>
    </tableColumn>
    <tableColumn id="3" xr3:uid="{0BDEF6C4-F117-40BF-94F9-80FE44DF9341}" name="DF $" dataDxfId="9" totalsRowDxfId="8"/>
    <tableColumn id="8" xr3:uid="{4F09416A-500C-4251-9266-FA4ACEE72AAA}" name="TOTAL DF $" totalsRowFunction="sum" dataDxfId="7" totalsRowDxfId="6">
      <calculatedColumnFormula>Table292[[#This Row],[DF $]]*Table292[[#This Row],[Cases Entered]]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B6D66-6B1D-4155-88DA-6463D052730B}">
  <sheetPr codeName="Sheet1">
    <pageSetUpPr fitToPage="1"/>
  </sheetPr>
  <dimension ref="A1:X57"/>
  <sheetViews>
    <sheetView showGridLines="0" tabSelected="1" topLeftCell="D1" zoomScale="80" zoomScaleNormal="80" workbookViewId="0">
      <selection activeCell="L55" sqref="L55"/>
    </sheetView>
  </sheetViews>
  <sheetFormatPr defaultColWidth="9.08984375" defaultRowHeight="14.5" x14ac:dyDescent="0.35"/>
  <cols>
    <col min="1" max="1" width="3.54296875" style="9" customWidth="1"/>
    <col min="2" max="2" width="1.6328125" style="9" customWidth="1"/>
    <col min="3" max="3" width="21.54296875" style="44" customWidth="1"/>
    <col min="4" max="4" width="91.36328125" style="9" bestFit="1" customWidth="1"/>
    <col min="5" max="5" width="16.36328125" style="44" customWidth="1"/>
    <col min="6" max="6" width="13.54296875" style="44" customWidth="1"/>
    <col min="7" max="7" width="19" style="10" customWidth="1"/>
    <col min="8" max="8" width="18.08984375" style="44" hidden="1" customWidth="1"/>
    <col min="9" max="9" width="1.6328125" style="44" customWidth="1"/>
    <col min="10" max="10" width="3.453125" style="44" customWidth="1"/>
    <col min="11" max="11" width="1.6328125" style="44" customWidth="1"/>
    <col min="12" max="15" width="14.54296875" style="9" customWidth="1"/>
    <col min="16" max="16" width="1.6328125" style="9" customWidth="1"/>
    <col min="17" max="17" width="3.54296875" style="9" customWidth="1"/>
    <col min="18" max="18" width="1.6328125" style="9" customWidth="1"/>
    <col min="19" max="19" width="12.90625" style="9" customWidth="1"/>
    <col min="20" max="20" width="1.6328125" style="9" customWidth="1"/>
    <col min="21" max="21" width="3.54296875" style="9" customWidth="1"/>
    <col min="22" max="22" width="1.6328125" style="9" customWidth="1"/>
    <col min="23" max="23" width="15.90625" style="9" customWidth="1"/>
    <col min="24" max="24" width="1.6328125" style="44" customWidth="1"/>
    <col min="25" max="25" width="12.6328125" style="9" bestFit="1" customWidth="1"/>
    <col min="26" max="16384" width="9.08984375" style="9"/>
  </cols>
  <sheetData>
    <row r="1" spans="1:24" ht="18" customHeight="1" thickBot="1" x14ac:dyDescent="0.4">
      <c r="C1" s="9"/>
      <c r="H1" s="11"/>
      <c r="I1" s="11"/>
      <c r="J1" s="9"/>
      <c r="K1" s="9"/>
      <c r="X1" s="9"/>
    </row>
    <row r="2" spans="1:24" ht="26.5" thickBot="1" x14ac:dyDescent="0.4">
      <c r="C2" s="159" t="s">
        <v>136</v>
      </c>
      <c r="D2" s="160"/>
      <c r="E2" s="137"/>
      <c r="F2" s="9"/>
      <c r="G2" s="9"/>
      <c r="H2" s="9"/>
      <c r="I2" s="9"/>
      <c r="J2" s="9"/>
      <c r="K2" s="9"/>
      <c r="X2" s="9"/>
    </row>
    <row r="3" spans="1:24" ht="18" customHeight="1" x14ac:dyDescent="0.35">
      <c r="C3" s="45"/>
      <c r="F3" s="9"/>
      <c r="G3" s="9"/>
      <c r="H3" s="9"/>
      <c r="I3" s="9"/>
      <c r="J3" s="9"/>
      <c r="K3" s="9"/>
      <c r="X3" s="9"/>
    </row>
    <row r="4" spans="1:24" ht="18" customHeight="1" thickBot="1" x14ac:dyDescent="0.4">
      <c r="E4" s="25"/>
      <c r="F4" s="9"/>
      <c r="G4" s="9"/>
      <c r="H4" s="9"/>
      <c r="I4" s="9"/>
      <c r="J4" s="9"/>
      <c r="K4" s="9"/>
      <c r="X4" s="9"/>
    </row>
    <row r="5" spans="1:24" ht="185.5" thickBot="1" x14ac:dyDescent="0.4">
      <c r="C5" s="138" t="s">
        <v>138</v>
      </c>
      <c r="D5" s="141" t="s">
        <v>140</v>
      </c>
      <c r="E5" s="25"/>
      <c r="F5" s="142" t="s">
        <v>141</v>
      </c>
      <c r="G5" s="142"/>
      <c r="H5" s="142"/>
      <c r="I5" s="142"/>
      <c r="J5" s="142"/>
      <c r="K5" s="142"/>
      <c r="L5" s="142"/>
      <c r="M5" s="142"/>
      <c r="X5" s="9"/>
    </row>
    <row r="6" spans="1:24" ht="24" thickBot="1" x14ac:dyDescent="0.4">
      <c r="C6" s="139"/>
      <c r="D6" s="140"/>
      <c r="E6" s="25"/>
      <c r="F6" s="9"/>
      <c r="G6" s="9"/>
      <c r="H6" s="9"/>
      <c r="I6" s="9"/>
      <c r="J6" s="9"/>
      <c r="K6" s="9"/>
      <c r="X6" s="9"/>
    </row>
    <row r="7" spans="1:24" ht="93" thickBot="1" x14ac:dyDescent="0.4">
      <c r="C7" s="138" t="s">
        <v>137</v>
      </c>
      <c r="D7" s="141" t="s">
        <v>139</v>
      </c>
      <c r="E7" s="25"/>
      <c r="F7" s="9"/>
      <c r="G7" s="9"/>
      <c r="H7" s="9"/>
      <c r="I7" s="9"/>
      <c r="J7" s="9"/>
      <c r="K7" s="9"/>
      <c r="X7" s="9"/>
    </row>
    <row r="8" spans="1:24" ht="18" customHeight="1" x14ac:dyDescent="0.5">
      <c r="E8" s="11"/>
      <c r="I8" s="46"/>
      <c r="J8" s="9"/>
      <c r="K8" s="9"/>
      <c r="M8" s="47"/>
      <c r="N8" s="25"/>
      <c r="O8" s="25"/>
      <c r="X8" s="9"/>
    </row>
    <row r="9" spans="1:24" ht="21.5" thickBot="1" x14ac:dyDescent="0.55000000000000004">
      <c r="A9" s="48"/>
      <c r="J9" s="9"/>
      <c r="K9" s="9"/>
      <c r="X9" s="9"/>
    </row>
    <row r="10" spans="1:24" ht="9" customHeight="1" thickBot="1" x14ac:dyDescent="0.4">
      <c r="B10" s="49"/>
      <c r="C10" s="50"/>
      <c r="D10" s="51"/>
      <c r="E10" s="51"/>
      <c r="F10" s="51"/>
      <c r="G10" s="51"/>
      <c r="H10" s="51"/>
      <c r="I10" s="52"/>
      <c r="J10" s="9"/>
      <c r="K10" s="49"/>
      <c r="L10" s="53"/>
      <c r="M10" s="53"/>
      <c r="N10" s="53"/>
      <c r="O10" s="53"/>
      <c r="P10" s="52"/>
      <c r="R10" s="49"/>
      <c r="S10" s="54"/>
      <c r="T10" s="52"/>
      <c r="V10" s="49"/>
      <c r="W10" s="53"/>
      <c r="X10" s="52"/>
    </row>
    <row r="11" spans="1:24" ht="66.75" customHeight="1" thickBot="1" x14ac:dyDescent="0.4">
      <c r="B11" s="55"/>
      <c r="C11" s="56" t="s">
        <v>91</v>
      </c>
      <c r="D11" s="57" t="s">
        <v>92</v>
      </c>
      <c r="E11" s="58" t="s">
        <v>89</v>
      </c>
      <c r="F11" s="59" t="s">
        <v>53</v>
      </c>
      <c r="G11" s="60" t="s">
        <v>85</v>
      </c>
      <c r="H11" s="61" t="s">
        <v>38</v>
      </c>
      <c r="I11" s="62"/>
      <c r="J11" s="9"/>
      <c r="K11" s="55"/>
      <c r="L11" s="63" t="s">
        <v>86</v>
      </c>
      <c r="M11" s="64" t="s">
        <v>87</v>
      </c>
      <c r="N11" s="64" t="s">
        <v>90</v>
      </c>
      <c r="O11" s="64" t="s">
        <v>114</v>
      </c>
      <c r="P11" s="62"/>
      <c r="Q11" s="65"/>
      <c r="R11" s="55"/>
      <c r="S11" s="63" t="s">
        <v>57</v>
      </c>
      <c r="T11" s="66"/>
      <c r="U11" s="67"/>
      <c r="V11" s="55"/>
      <c r="W11" s="63" t="s">
        <v>88</v>
      </c>
      <c r="X11" s="62"/>
    </row>
    <row r="12" spans="1:24" ht="19" thickBot="1" x14ac:dyDescent="0.4">
      <c r="B12" s="55"/>
      <c r="C12" s="68" t="s">
        <v>118</v>
      </c>
      <c r="D12" s="69"/>
      <c r="E12" s="70"/>
      <c r="F12" s="71"/>
      <c r="G12" s="64"/>
      <c r="H12" s="72"/>
      <c r="I12" s="62"/>
      <c r="J12" s="9"/>
      <c r="K12" s="55"/>
      <c r="L12" s="131"/>
      <c r="M12" s="71"/>
      <c r="N12" s="71"/>
      <c r="O12" s="64"/>
      <c r="P12" s="62"/>
      <c r="Q12" s="65"/>
      <c r="R12" s="55"/>
      <c r="S12" s="63"/>
      <c r="T12" s="66"/>
      <c r="U12" s="67"/>
      <c r="V12" s="55"/>
      <c r="W12" s="63"/>
      <c r="X12" s="62"/>
    </row>
    <row r="13" spans="1:24" ht="22.5" customHeight="1" x14ac:dyDescent="0.35">
      <c r="A13" s="73"/>
      <c r="B13" s="55"/>
      <c r="C13" s="74">
        <v>13410</v>
      </c>
      <c r="D13" s="21" t="s">
        <v>93</v>
      </c>
      <c r="E13" s="75">
        <v>78</v>
      </c>
      <c r="F13" s="76">
        <v>20.5</v>
      </c>
      <c r="G13" s="77" t="s">
        <v>81</v>
      </c>
      <c r="H13" s="78" t="s">
        <v>60</v>
      </c>
      <c r="I13" s="62"/>
      <c r="J13" s="9"/>
      <c r="K13" s="55"/>
      <c r="L13" s="104"/>
      <c r="M13" s="104"/>
      <c r="N13" s="79" t="str">
        <f t="shared" ref="N13:N55" si="0">IF(OR(L13="",M13=""),"",CEILING(L13*M13,E13)/E13)</f>
        <v/>
      </c>
      <c r="O13" s="106"/>
      <c r="P13" s="62"/>
      <c r="Q13" s="80"/>
      <c r="R13" s="55"/>
      <c r="S13" s="107"/>
      <c r="T13" s="66"/>
      <c r="U13" s="81"/>
      <c r="V13" s="55"/>
      <c r="W13" s="82" t="str" cm="1">
        <f t="array" ref="W13">_xlfn.IFS($E$2="","",AND($E$2="Servings",L13="",M13="",O13=""),"",$E$2="Servings",(L13*M13)+(E13*O13),AND($E$2="Cases",E13*S13=0),"",$E$2="Cases",E13*S13)</f>
        <v/>
      </c>
      <c r="X13" s="62"/>
    </row>
    <row r="14" spans="1:24" ht="22.5" customHeight="1" x14ac:dyDescent="0.35">
      <c r="A14" s="73"/>
      <c r="B14" s="55"/>
      <c r="C14" s="74">
        <v>13424</v>
      </c>
      <c r="D14" s="21" t="s">
        <v>94</v>
      </c>
      <c r="E14" s="75">
        <v>78</v>
      </c>
      <c r="F14" s="76">
        <v>20.5</v>
      </c>
      <c r="G14" s="77" t="s">
        <v>81</v>
      </c>
      <c r="H14" s="83" t="s">
        <v>60</v>
      </c>
      <c r="I14" s="62"/>
      <c r="J14" s="9"/>
      <c r="K14" s="55"/>
      <c r="L14" s="104"/>
      <c r="M14" s="104"/>
      <c r="N14" s="79" t="str">
        <f t="shared" si="0"/>
        <v/>
      </c>
      <c r="O14" s="106"/>
      <c r="P14" s="62"/>
      <c r="Q14" s="80"/>
      <c r="R14" s="55"/>
      <c r="S14" s="106"/>
      <c r="T14" s="66"/>
      <c r="U14" s="81"/>
      <c r="V14" s="55"/>
      <c r="W14" s="79" t="str" cm="1">
        <f t="array" ref="W14">_xlfn.IFS($E$2="","",AND($E$2="Servings",L14="",M14="",O14=""),"",$E$2="Servings",(L14*M14)+(E14*O14),AND($E$2="Cases",E14*S14=0),"",$E$2="Cases",E14*S14)</f>
        <v/>
      </c>
      <c r="X14" s="62"/>
    </row>
    <row r="15" spans="1:24" ht="22.5" customHeight="1" x14ac:dyDescent="0.35">
      <c r="A15" s="73"/>
      <c r="B15" s="55"/>
      <c r="C15" s="74">
        <v>13429</v>
      </c>
      <c r="D15" s="21" t="s">
        <v>95</v>
      </c>
      <c r="E15" s="75">
        <v>156</v>
      </c>
      <c r="F15" s="76">
        <v>20.5</v>
      </c>
      <c r="G15" s="77" t="s">
        <v>81</v>
      </c>
      <c r="H15" s="83" t="s">
        <v>61</v>
      </c>
      <c r="I15" s="62"/>
      <c r="J15" s="9"/>
      <c r="K15" s="55"/>
      <c r="L15" s="104"/>
      <c r="M15" s="104"/>
      <c r="N15" s="79" t="str">
        <f t="shared" si="0"/>
        <v/>
      </c>
      <c r="O15" s="106"/>
      <c r="P15" s="62"/>
      <c r="Q15" s="80"/>
      <c r="R15" s="55"/>
      <c r="S15" s="106"/>
      <c r="T15" s="66"/>
      <c r="U15" s="81"/>
      <c r="V15" s="55"/>
      <c r="W15" s="79" t="str" cm="1">
        <f t="array" ref="W15">_xlfn.IFS($E$2="","",AND($E$2="Servings",L15="",M15="",O15=""),"",$E$2="Servings",(L15*M15)+(E15*O15),AND($E$2="Cases",E15*S15=0),"",$E$2="Cases",E15*S15)</f>
        <v/>
      </c>
      <c r="X15" s="62"/>
    </row>
    <row r="16" spans="1:24" ht="22.5" customHeight="1" x14ac:dyDescent="0.35">
      <c r="A16" s="84"/>
      <c r="B16" s="55"/>
      <c r="C16" s="74">
        <v>13440</v>
      </c>
      <c r="D16" s="21" t="s">
        <v>15</v>
      </c>
      <c r="E16" s="75">
        <v>78</v>
      </c>
      <c r="F16" s="76">
        <v>20.5</v>
      </c>
      <c r="G16" s="77" t="s">
        <v>81</v>
      </c>
      <c r="H16" s="83" t="s">
        <v>60</v>
      </c>
      <c r="I16" s="62"/>
      <c r="J16" s="9"/>
      <c r="K16" s="55"/>
      <c r="L16" s="104"/>
      <c r="M16" s="104"/>
      <c r="N16" s="79" t="str">
        <f t="shared" si="0"/>
        <v/>
      </c>
      <c r="O16" s="106"/>
      <c r="P16" s="62"/>
      <c r="Q16" s="80"/>
      <c r="R16" s="55"/>
      <c r="S16" s="106"/>
      <c r="T16" s="66"/>
      <c r="U16" s="81"/>
      <c r="V16" s="55"/>
      <c r="W16" s="79" t="str" cm="1">
        <f t="array" ref="W16">_xlfn.IFS($E$2="","",AND($E$2="Servings",L16="",M16="",O16=""),"",$E$2="Servings",(L16*M16)+(E16*O16),AND($E$2="Cases",E16*S16=0),"",$E$2="Cases",E16*S16)</f>
        <v/>
      </c>
      <c r="X16" s="62"/>
    </row>
    <row r="17" spans="1:24" ht="22.5" customHeight="1" x14ac:dyDescent="0.35">
      <c r="A17" s="84"/>
      <c r="B17" s="55"/>
      <c r="C17" s="74">
        <v>13441</v>
      </c>
      <c r="D17" s="21" t="s">
        <v>16</v>
      </c>
      <c r="E17" s="75">
        <v>156</v>
      </c>
      <c r="F17" s="76">
        <v>20.5</v>
      </c>
      <c r="G17" s="77" t="s">
        <v>81</v>
      </c>
      <c r="H17" s="83" t="s">
        <v>61</v>
      </c>
      <c r="I17" s="62"/>
      <c r="J17" s="9"/>
      <c r="K17" s="55"/>
      <c r="L17" s="104"/>
      <c r="M17" s="104"/>
      <c r="N17" s="79" t="str">
        <f t="shared" si="0"/>
        <v/>
      </c>
      <c r="O17" s="106"/>
      <c r="P17" s="62"/>
      <c r="Q17" s="80"/>
      <c r="R17" s="55"/>
      <c r="S17" s="106"/>
      <c r="T17" s="66"/>
      <c r="U17" s="81"/>
      <c r="V17" s="55"/>
      <c r="W17" s="79" t="str" cm="1">
        <f t="array" ref="W17">_xlfn.IFS($E$2="","",AND($E$2="Servings",L17="",M17="",O17=""),"",$E$2="Servings",(L17*M17)+(E17*O17),AND($E$2="Cases",E17*S17=0),"",$E$2="Cases",E17*S17)</f>
        <v/>
      </c>
      <c r="X17" s="62"/>
    </row>
    <row r="18" spans="1:24" ht="22.5" customHeight="1" x14ac:dyDescent="0.35">
      <c r="A18" s="85"/>
      <c r="B18" s="55"/>
      <c r="C18" s="74">
        <v>13443</v>
      </c>
      <c r="D18" s="21" t="s">
        <v>96</v>
      </c>
      <c r="E18" s="75">
        <v>78</v>
      </c>
      <c r="F18" s="76">
        <v>20.5</v>
      </c>
      <c r="G18" s="77" t="s">
        <v>81</v>
      </c>
      <c r="H18" s="83" t="s">
        <v>60</v>
      </c>
      <c r="I18" s="62"/>
      <c r="J18" s="9"/>
      <c r="K18" s="55"/>
      <c r="L18" s="104"/>
      <c r="M18" s="104"/>
      <c r="N18" s="79" t="str">
        <f t="shared" si="0"/>
        <v/>
      </c>
      <c r="O18" s="106"/>
      <c r="P18" s="62"/>
      <c r="Q18" s="80"/>
      <c r="R18" s="55"/>
      <c r="S18" s="106"/>
      <c r="T18" s="66"/>
      <c r="U18" s="81"/>
      <c r="V18" s="55"/>
      <c r="W18" s="79" t="str" cm="1">
        <f t="array" ref="W18">_xlfn.IFS($E$2="","",AND($E$2="Servings",L18="",M18="",O18=""),"",$E$2="Servings",(L18*M18)+(E18*O18),AND($E$2="Cases",E18*S18=0),"",$E$2="Cases",E18*S18)</f>
        <v/>
      </c>
      <c r="X18" s="62"/>
    </row>
    <row r="19" spans="1:24" ht="22.5" customHeight="1" x14ac:dyDescent="0.35">
      <c r="A19" s="85"/>
      <c r="B19" s="55"/>
      <c r="C19" s="74">
        <v>13445</v>
      </c>
      <c r="D19" s="21" t="s">
        <v>97</v>
      </c>
      <c r="E19" s="75">
        <v>78</v>
      </c>
      <c r="F19" s="76">
        <v>20.5</v>
      </c>
      <c r="G19" s="77" t="s">
        <v>81</v>
      </c>
      <c r="H19" s="83" t="s">
        <v>60</v>
      </c>
      <c r="I19" s="62"/>
      <c r="J19" s="9"/>
      <c r="K19" s="55"/>
      <c r="L19" s="104"/>
      <c r="M19" s="104"/>
      <c r="N19" s="79" t="str">
        <f t="shared" si="0"/>
        <v/>
      </c>
      <c r="O19" s="106"/>
      <c r="P19" s="62"/>
      <c r="Q19" s="80"/>
      <c r="R19" s="55"/>
      <c r="S19" s="106"/>
      <c r="T19" s="66"/>
      <c r="U19" s="81"/>
      <c r="V19" s="55"/>
      <c r="W19" s="79" t="str" cm="1">
        <f t="array" ref="W19">_xlfn.IFS($E$2="","",AND($E$2="Servings",L19="",M19="",O19=""),"",$E$2="Servings",(L19*M19)+(E19*O19),AND($E$2="Cases",E19*S19=0),"",$E$2="Cases",E19*S19)</f>
        <v/>
      </c>
      <c r="X19" s="62"/>
    </row>
    <row r="20" spans="1:24" ht="22.5" customHeight="1" x14ac:dyDescent="0.35">
      <c r="A20" s="85"/>
      <c r="B20" s="55"/>
      <c r="C20" s="74">
        <v>23409</v>
      </c>
      <c r="D20" s="21" t="s">
        <v>98</v>
      </c>
      <c r="E20" s="75">
        <v>78</v>
      </c>
      <c r="F20" s="76">
        <v>20.5</v>
      </c>
      <c r="G20" s="77" t="s">
        <v>81</v>
      </c>
      <c r="H20" s="83" t="s">
        <v>58</v>
      </c>
      <c r="I20" s="62"/>
      <c r="J20" s="9"/>
      <c r="K20" s="55"/>
      <c r="L20" s="104"/>
      <c r="M20" s="104"/>
      <c r="N20" s="79" t="str">
        <f t="shared" si="0"/>
        <v/>
      </c>
      <c r="O20" s="106"/>
      <c r="P20" s="62"/>
      <c r="Q20" s="80"/>
      <c r="R20" s="55"/>
      <c r="S20" s="106"/>
      <c r="T20" s="66"/>
      <c r="U20" s="81"/>
      <c r="V20" s="55"/>
      <c r="W20" s="79" t="str" cm="1">
        <f t="array" ref="W20">_xlfn.IFS($E$2="","",AND($E$2="Servings",L20="",M20="",O20=""),"",$E$2="Servings",(L20*M20)+(E20*O20),AND($E$2="Cases",E20*S20=0),"",$E$2="Cases",E20*S20)</f>
        <v/>
      </c>
      <c r="X20" s="62"/>
    </row>
    <row r="21" spans="1:24" ht="22.5" customHeight="1" x14ac:dyDescent="0.35">
      <c r="A21" s="85"/>
      <c r="B21" s="55"/>
      <c r="C21" s="74">
        <v>23415</v>
      </c>
      <c r="D21" s="21" t="s">
        <v>17</v>
      </c>
      <c r="E21" s="75">
        <v>78</v>
      </c>
      <c r="F21" s="76">
        <v>20.5</v>
      </c>
      <c r="G21" s="77" t="s">
        <v>81</v>
      </c>
      <c r="H21" s="83" t="s">
        <v>58</v>
      </c>
      <c r="I21" s="62"/>
      <c r="J21" s="9"/>
      <c r="K21" s="55"/>
      <c r="L21" s="104"/>
      <c r="M21" s="104"/>
      <c r="N21" s="79" t="str">
        <f t="shared" si="0"/>
        <v/>
      </c>
      <c r="O21" s="106"/>
      <c r="P21" s="62"/>
      <c r="Q21" s="80"/>
      <c r="R21" s="55"/>
      <c r="S21" s="106"/>
      <c r="T21" s="66"/>
      <c r="U21" s="81"/>
      <c r="V21" s="55"/>
      <c r="W21" s="79" t="str" cm="1">
        <f t="array" ref="W21">_xlfn.IFS($E$2="","",AND($E$2="Servings",L21="",M21="",O21=""),"",$E$2="Servings",(L21*M21)+(E21*O21),AND($E$2="Cases",E21*S21=0),"",$E$2="Cases",E21*S21)</f>
        <v/>
      </c>
      <c r="X21" s="62"/>
    </row>
    <row r="22" spans="1:24" ht="22.5" customHeight="1" x14ac:dyDescent="0.35">
      <c r="A22" s="85"/>
      <c r="B22" s="55"/>
      <c r="C22" s="74">
        <v>23417</v>
      </c>
      <c r="D22" s="21" t="s">
        <v>99</v>
      </c>
      <c r="E22" s="75">
        <v>78</v>
      </c>
      <c r="F22" s="76">
        <v>20.5</v>
      </c>
      <c r="G22" s="77" t="s">
        <v>81</v>
      </c>
      <c r="H22" s="83" t="s">
        <v>58</v>
      </c>
      <c r="I22" s="62"/>
      <c r="J22" s="9"/>
      <c r="K22" s="55"/>
      <c r="L22" s="104"/>
      <c r="M22" s="104"/>
      <c r="N22" s="79" t="str">
        <f t="shared" si="0"/>
        <v/>
      </c>
      <c r="O22" s="106"/>
      <c r="P22" s="62"/>
      <c r="Q22" s="80"/>
      <c r="R22" s="55"/>
      <c r="S22" s="106"/>
      <c r="T22" s="66"/>
      <c r="U22" s="81"/>
      <c r="V22" s="55"/>
      <c r="W22" s="79" t="str" cm="1">
        <f t="array" ref="W22">_xlfn.IFS($E$2="","",AND($E$2="Servings",L22="",M22="",O22=""),"",$E$2="Servings",(L22*M22)+(E22*O22),AND($E$2="Cases",E22*S22=0),"",$E$2="Cases",E22*S22)</f>
        <v/>
      </c>
      <c r="X22" s="62"/>
    </row>
    <row r="23" spans="1:24" ht="22.5" customHeight="1" x14ac:dyDescent="0.35">
      <c r="A23" s="85"/>
      <c r="B23" s="55"/>
      <c r="C23" s="74">
        <v>43404</v>
      </c>
      <c r="D23" s="21" t="s">
        <v>101</v>
      </c>
      <c r="E23" s="75">
        <v>78</v>
      </c>
      <c r="F23" s="76">
        <v>20.5</v>
      </c>
      <c r="G23" s="77" t="s">
        <v>81</v>
      </c>
      <c r="H23" s="83" t="s">
        <v>69</v>
      </c>
      <c r="I23" s="62"/>
      <c r="J23" s="9"/>
      <c r="K23" s="55"/>
      <c r="L23" s="104"/>
      <c r="M23" s="104"/>
      <c r="N23" s="79" t="str">
        <f t="shared" si="0"/>
        <v/>
      </c>
      <c r="O23" s="106"/>
      <c r="P23" s="62"/>
      <c r="Q23" s="80"/>
      <c r="R23" s="55"/>
      <c r="S23" s="106"/>
      <c r="T23" s="66"/>
      <c r="U23" s="81"/>
      <c r="V23" s="55"/>
      <c r="W23" s="79" t="str" cm="1">
        <f t="array" ref="W23">_xlfn.IFS($E$2="","",AND($E$2="Servings",L23="",M23="",O23=""),"",$E$2="Servings",(L23*M23)+(E23*O23),AND($E$2="Cases",E23*S23=0),"",$E$2="Cases",E23*S23)</f>
        <v/>
      </c>
      <c r="X23" s="62"/>
    </row>
    <row r="24" spans="1:24" ht="22.5" customHeight="1" x14ac:dyDescent="0.35">
      <c r="A24" s="85"/>
      <c r="B24" s="55"/>
      <c r="C24" s="74">
        <v>43415</v>
      </c>
      <c r="D24" s="21" t="s">
        <v>102</v>
      </c>
      <c r="E24" s="75">
        <v>78</v>
      </c>
      <c r="F24" s="76">
        <v>20.5</v>
      </c>
      <c r="G24" s="77" t="s">
        <v>81</v>
      </c>
      <c r="H24" s="83" t="s">
        <v>59</v>
      </c>
      <c r="I24" s="62"/>
      <c r="J24" s="9"/>
      <c r="K24" s="55"/>
      <c r="L24" s="104"/>
      <c r="M24" s="104"/>
      <c r="N24" s="79" t="str">
        <f t="shared" si="0"/>
        <v/>
      </c>
      <c r="O24" s="106"/>
      <c r="P24" s="62"/>
      <c r="Q24" s="80"/>
      <c r="R24" s="55"/>
      <c r="S24" s="106"/>
      <c r="T24" s="66"/>
      <c r="U24" s="81"/>
      <c r="V24" s="55"/>
      <c r="W24" s="79" t="str" cm="1">
        <f t="array" ref="W24">_xlfn.IFS($E$2="","",AND($E$2="Servings",L24="",M24="",O24=""),"",$E$2="Servings",(L24*M24)+(E24*O24),AND($E$2="Cases",E24*S24=0),"",$E$2="Cases",E24*S24)</f>
        <v/>
      </c>
      <c r="X24" s="62"/>
    </row>
    <row r="25" spans="1:24" ht="22.5" customHeight="1" x14ac:dyDescent="0.35">
      <c r="A25" s="85"/>
      <c r="B25" s="55"/>
      <c r="C25" s="74">
        <v>43424</v>
      </c>
      <c r="D25" s="21" t="s">
        <v>18</v>
      </c>
      <c r="E25" s="75">
        <v>78</v>
      </c>
      <c r="F25" s="76">
        <v>20.5</v>
      </c>
      <c r="G25" s="77" t="s">
        <v>81</v>
      </c>
      <c r="H25" s="83" t="s">
        <v>59</v>
      </c>
      <c r="I25" s="62"/>
      <c r="J25" s="9"/>
      <c r="K25" s="55"/>
      <c r="L25" s="104"/>
      <c r="M25" s="104"/>
      <c r="N25" s="79" t="str">
        <f t="shared" si="0"/>
        <v/>
      </c>
      <c r="O25" s="106"/>
      <c r="P25" s="62"/>
      <c r="Q25" s="80"/>
      <c r="R25" s="55"/>
      <c r="S25" s="106"/>
      <c r="T25" s="66"/>
      <c r="U25" s="81"/>
      <c r="V25" s="55"/>
      <c r="W25" s="79" t="str" cm="1">
        <f t="array" ref="W25">_xlfn.IFS($E$2="","",AND($E$2="Servings",L25="",M25="",O25=""),"",$E$2="Servings",(L25*M25)+(E25*O25),AND($E$2="Cases",E25*S25=0),"",$E$2="Cases",E25*S25)</f>
        <v/>
      </c>
      <c r="X25" s="62"/>
    </row>
    <row r="26" spans="1:24" ht="22.5" customHeight="1" x14ac:dyDescent="0.35">
      <c r="A26" s="85"/>
      <c r="B26" s="55"/>
      <c r="C26" s="74">
        <v>54485</v>
      </c>
      <c r="D26" s="21" t="s">
        <v>20</v>
      </c>
      <c r="E26" s="75">
        <v>76</v>
      </c>
      <c r="F26" s="76">
        <v>20.5</v>
      </c>
      <c r="G26" s="77" t="s">
        <v>81</v>
      </c>
      <c r="H26" s="83" t="s">
        <v>59</v>
      </c>
      <c r="I26" s="62"/>
      <c r="J26" s="9"/>
      <c r="K26" s="55"/>
      <c r="L26" s="104"/>
      <c r="M26" s="104"/>
      <c r="N26" s="79" t="str">
        <f t="shared" si="0"/>
        <v/>
      </c>
      <c r="O26" s="106"/>
      <c r="P26" s="62"/>
      <c r="Q26" s="80"/>
      <c r="R26" s="55"/>
      <c r="S26" s="106"/>
      <c r="T26" s="66"/>
      <c r="U26" s="81"/>
      <c r="V26" s="55"/>
      <c r="W26" s="79" t="str" cm="1">
        <f t="array" ref="W26">_xlfn.IFS($E$2="","",AND($E$2="Servings",L26="",M26="",O26=""),"",$E$2="Servings",(L26*M26)+(E26*O26),AND($E$2="Cases",E26*S26=0),"",$E$2="Cases",E26*S26)</f>
        <v/>
      </c>
      <c r="X26" s="62"/>
    </row>
    <row r="27" spans="1:24" ht="22.5" customHeight="1" x14ac:dyDescent="0.35">
      <c r="A27" s="85"/>
      <c r="B27" s="55"/>
      <c r="C27" s="74">
        <v>54486</v>
      </c>
      <c r="D27" s="21" t="s">
        <v>21</v>
      </c>
      <c r="E27" s="75">
        <v>78</v>
      </c>
      <c r="F27" s="76">
        <v>20.5</v>
      </c>
      <c r="G27" s="77" t="s">
        <v>81</v>
      </c>
      <c r="H27" s="83" t="s">
        <v>61</v>
      </c>
      <c r="I27" s="62"/>
      <c r="J27" s="9"/>
      <c r="K27" s="55"/>
      <c r="L27" s="104"/>
      <c r="M27" s="104"/>
      <c r="N27" s="79" t="str">
        <f t="shared" si="0"/>
        <v/>
      </c>
      <c r="O27" s="106"/>
      <c r="P27" s="62"/>
      <c r="Q27" s="80"/>
      <c r="R27" s="55"/>
      <c r="S27" s="106"/>
      <c r="T27" s="66"/>
      <c r="U27" s="81"/>
      <c r="V27" s="55"/>
      <c r="W27" s="79" t="str" cm="1">
        <f t="array" ref="W27">_xlfn.IFS($E$2="","",AND($E$2="Servings",L27="",M27="",O27=""),"",$E$2="Servings",(L27*M27)+(E27*O27),AND($E$2="Cases",E27*S27=0),"",$E$2="Cases",E27*S27)</f>
        <v/>
      </c>
      <c r="X27" s="62"/>
    </row>
    <row r="28" spans="1:24" ht="22.5" customHeight="1" x14ac:dyDescent="0.35">
      <c r="A28" s="85"/>
      <c r="B28" s="55"/>
      <c r="C28" s="74">
        <v>54487</v>
      </c>
      <c r="D28" s="21" t="s">
        <v>22</v>
      </c>
      <c r="E28" s="75">
        <v>76</v>
      </c>
      <c r="F28" s="76">
        <v>20.5</v>
      </c>
      <c r="G28" s="77" t="s">
        <v>81</v>
      </c>
      <c r="H28" s="83" t="s">
        <v>74</v>
      </c>
      <c r="I28" s="62"/>
      <c r="J28" s="9"/>
      <c r="K28" s="55"/>
      <c r="L28" s="104"/>
      <c r="M28" s="104"/>
      <c r="N28" s="79" t="str">
        <f t="shared" si="0"/>
        <v/>
      </c>
      <c r="O28" s="106"/>
      <c r="P28" s="62"/>
      <c r="Q28" s="80"/>
      <c r="R28" s="55"/>
      <c r="S28" s="106"/>
      <c r="T28" s="66"/>
      <c r="U28" s="81"/>
      <c r="V28" s="55"/>
      <c r="W28" s="79" t="str" cm="1">
        <f t="array" ref="W28">_xlfn.IFS($E$2="","",AND($E$2="Servings",L28="",M28="",O28=""),"",$E$2="Servings",(L28*M28)+(E28*O28),AND($E$2="Cases",E28*S28=0),"",$E$2="Cases",E28*S28)</f>
        <v/>
      </c>
      <c r="X28" s="62"/>
    </row>
    <row r="29" spans="1:24" ht="22.5" customHeight="1" x14ac:dyDescent="0.35">
      <c r="A29" s="85"/>
      <c r="B29" s="55"/>
      <c r="C29" s="74">
        <v>54496</v>
      </c>
      <c r="D29" s="21" t="s">
        <v>106</v>
      </c>
      <c r="E29" s="75">
        <v>78</v>
      </c>
      <c r="F29" s="76">
        <v>20.5</v>
      </c>
      <c r="G29" s="77" t="s">
        <v>81</v>
      </c>
      <c r="H29" s="83" t="s">
        <v>77</v>
      </c>
      <c r="I29" s="62"/>
      <c r="J29" s="9"/>
      <c r="K29" s="55"/>
      <c r="L29" s="104"/>
      <c r="M29" s="104"/>
      <c r="N29" s="79" t="str">
        <f t="shared" si="0"/>
        <v/>
      </c>
      <c r="O29" s="106"/>
      <c r="P29" s="62"/>
      <c r="Q29" s="80"/>
      <c r="R29" s="55"/>
      <c r="S29" s="106"/>
      <c r="T29" s="66"/>
      <c r="U29" s="81"/>
      <c r="V29" s="55"/>
      <c r="W29" s="79" t="str" cm="1">
        <f t="array" ref="W29">_xlfn.IFS($E$2="","",AND($E$2="Servings",L29="",M29="",O29=""),"",$E$2="Servings",(L29*M29)+(E29*O29),AND($E$2="Cases",E29*S29=0),"",$E$2="Cases",E29*S29)</f>
        <v/>
      </c>
      <c r="X29" s="62"/>
    </row>
    <row r="30" spans="1:24" ht="22.5" customHeight="1" thickBot="1" x14ac:dyDescent="0.4">
      <c r="A30" s="85"/>
      <c r="B30" s="55"/>
      <c r="C30" s="74">
        <v>54497</v>
      </c>
      <c r="D30" s="21" t="s">
        <v>107</v>
      </c>
      <c r="E30" s="75">
        <v>77</v>
      </c>
      <c r="F30" s="76">
        <v>20.5</v>
      </c>
      <c r="G30" s="77" t="s">
        <v>81</v>
      </c>
      <c r="H30" s="83" t="s">
        <v>78</v>
      </c>
      <c r="I30" s="62"/>
      <c r="J30" s="9"/>
      <c r="K30" s="55"/>
      <c r="L30" s="104"/>
      <c r="M30" s="104"/>
      <c r="N30" s="79" t="str">
        <f t="shared" si="0"/>
        <v/>
      </c>
      <c r="O30" s="106"/>
      <c r="P30" s="62"/>
      <c r="Q30" s="80"/>
      <c r="R30" s="55"/>
      <c r="S30" s="106"/>
      <c r="T30" s="66"/>
      <c r="U30" s="81"/>
      <c r="V30" s="55"/>
      <c r="W30" s="79" t="str" cm="1">
        <f t="array" ref="W30">_xlfn.IFS($E$2="","",AND($E$2="Servings",L30="",M30="",O30=""),"",$E$2="Servings",(L30*M30)+(E30*O30),AND($E$2="Cases",E30*S30=0),"",$E$2="Cases",E30*S30)</f>
        <v/>
      </c>
      <c r="X30" s="62"/>
    </row>
    <row r="31" spans="1:24" ht="19" thickBot="1" x14ac:dyDescent="0.4">
      <c r="B31" s="55"/>
      <c r="C31" s="68" t="s">
        <v>119</v>
      </c>
      <c r="D31" s="69"/>
      <c r="E31" s="70"/>
      <c r="F31" s="71"/>
      <c r="G31" s="64"/>
      <c r="H31" s="72"/>
      <c r="I31" s="62"/>
      <c r="J31" s="9"/>
      <c r="K31" s="55"/>
      <c r="L31" s="131"/>
      <c r="M31" s="71"/>
      <c r="N31" s="71"/>
      <c r="O31" s="64"/>
      <c r="P31" s="62"/>
      <c r="Q31" s="65"/>
      <c r="R31" s="55"/>
      <c r="S31" s="63"/>
      <c r="T31" s="66"/>
      <c r="U31" s="67"/>
      <c r="V31" s="55"/>
      <c r="W31" s="63"/>
      <c r="X31" s="62"/>
    </row>
    <row r="32" spans="1:24" ht="22.5" customHeight="1" x14ac:dyDescent="0.35">
      <c r="A32" s="85"/>
      <c r="B32" s="55"/>
      <c r="C32" s="74">
        <v>56404</v>
      </c>
      <c r="D32" s="21" t="s">
        <v>19</v>
      </c>
      <c r="E32" s="75">
        <v>114</v>
      </c>
      <c r="F32" s="76">
        <v>26.28</v>
      </c>
      <c r="G32" s="86" t="s">
        <v>81</v>
      </c>
      <c r="H32" s="83" t="s">
        <v>72</v>
      </c>
      <c r="I32" s="62"/>
      <c r="J32" s="9"/>
      <c r="K32" s="55"/>
      <c r="L32" s="104"/>
      <c r="M32" s="104"/>
      <c r="N32" s="79" t="str">
        <f t="shared" si="0"/>
        <v/>
      </c>
      <c r="O32" s="106"/>
      <c r="P32" s="62"/>
      <c r="Q32" s="80"/>
      <c r="R32" s="55"/>
      <c r="S32" s="106"/>
      <c r="T32" s="66"/>
      <c r="U32" s="81"/>
      <c r="V32" s="55"/>
      <c r="W32" s="79" t="str" cm="1">
        <f t="array" ref="W32">_xlfn.IFS($E$2="","",AND($E$2="Servings",L32="",M32="",O32=""),"",$E$2="Servings",(L32*M32)+(E32*O32),AND($E$2="Cases",E32*S32=0),"",$E$2="Cases",E32*S32)</f>
        <v/>
      </c>
      <c r="X32" s="62"/>
    </row>
    <row r="33" spans="1:24" ht="22.5" customHeight="1" thickBot="1" x14ac:dyDescent="0.4">
      <c r="A33" s="85"/>
      <c r="B33" s="55"/>
      <c r="C33" s="74">
        <v>56405</v>
      </c>
      <c r="D33" s="21" t="s">
        <v>33</v>
      </c>
      <c r="E33" s="75">
        <v>119</v>
      </c>
      <c r="F33" s="76">
        <v>26.28</v>
      </c>
      <c r="G33" s="86" t="s">
        <v>81</v>
      </c>
      <c r="H33" s="83" t="s">
        <v>67</v>
      </c>
      <c r="I33" s="62"/>
      <c r="J33" s="9"/>
      <c r="K33" s="55"/>
      <c r="L33" s="104"/>
      <c r="M33" s="104"/>
      <c r="N33" s="79" t="str">
        <f t="shared" si="0"/>
        <v/>
      </c>
      <c r="O33" s="106"/>
      <c r="P33" s="62"/>
      <c r="Q33" s="80"/>
      <c r="R33" s="55"/>
      <c r="S33" s="106"/>
      <c r="T33" s="66"/>
      <c r="U33" s="81"/>
      <c r="V33" s="55"/>
      <c r="W33" s="79" t="str" cm="1">
        <f t="array" ref="W33">_xlfn.IFS($E$2="","",AND($E$2="Servings",L33="",M33="",O33=""),"",$E$2="Servings",(L33*M33)+(E33*O33),AND($E$2="Cases",E33*S33=0),"",$E$2="Cases",E33*S33)</f>
        <v/>
      </c>
      <c r="X33" s="62"/>
    </row>
    <row r="34" spans="1:24" ht="19" thickBot="1" x14ac:dyDescent="0.4">
      <c r="B34" s="55"/>
      <c r="C34" s="68" t="s">
        <v>135</v>
      </c>
      <c r="D34" s="69"/>
      <c r="E34" s="70"/>
      <c r="F34" s="71"/>
      <c r="G34" s="64"/>
      <c r="H34" s="72"/>
      <c r="I34" s="62"/>
      <c r="J34" s="9"/>
      <c r="K34" s="55"/>
      <c r="L34" s="131"/>
      <c r="M34" s="71"/>
      <c r="N34" s="71"/>
      <c r="O34" s="64"/>
      <c r="P34" s="62"/>
      <c r="Q34" s="65"/>
      <c r="R34" s="55"/>
      <c r="S34" s="132"/>
      <c r="T34" s="66"/>
      <c r="U34" s="67"/>
      <c r="V34" s="55"/>
      <c r="W34" s="63"/>
      <c r="X34" s="62"/>
    </row>
    <row r="35" spans="1:24" ht="22.5" customHeight="1" x14ac:dyDescent="0.35">
      <c r="A35" s="85"/>
      <c r="B35" s="55"/>
      <c r="C35" s="87">
        <v>54440</v>
      </c>
      <c r="D35" s="22" t="s">
        <v>104</v>
      </c>
      <c r="E35" s="75">
        <v>107</v>
      </c>
      <c r="F35" s="76">
        <v>17.78</v>
      </c>
      <c r="G35" s="86" t="s">
        <v>81</v>
      </c>
      <c r="H35" s="83" t="s">
        <v>73</v>
      </c>
      <c r="I35" s="62"/>
      <c r="J35" s="9"/>
      <c r="K35" s="55"/>
      <c r="L35" s="104"/>
      <c r="M35" s="104"/>
      <c r="N35" s="79" t="str">
        <f t="shared" si="0"/>
        <v/>
      </c>
      <c r="O35" s="106"/>
      <c r="P35" s="62"/>
      <c r="Q35" s="80"/>
      <c r="R35" s="55"/>
      <c r="S35" s="107"/>
      <c r="T35" s="66"/>
      <c r="U35" s="81"/>
      <c r="V35" s="55"/>
      <c r="W35" s="79" t="str" cm="1">
        <f t="array" ref="W35">_xlfn.IFS($E$2="","",AND($E$2="Servings",L35="",M35="",O35=""),"",$E$2="Servings",(L35*M35)+(E35*O35),AND($E$2="Cases",E35*S35=0),"",$E$2="Cases",E35*S35)</f>
        <v/>
      </c>
      <c r="X35" s="62"/>
    </row>
    <row r="36" spans="1:24" ht="22.5" customHeight="1" thickBot="1" x14ac:dyDescent="0.4">
      <c r="A36" s="85"/>
      <c r="B36" s="55"/>
      <c r="C36" s="87">
        <v>54454</v>
      </c>
      <c r="D36" s="22" t="s">
        <v>105</v>
      </c>
      <c r="E36" s="75">
        <v>107</v>
      </c>
      <c r="F36" s="76">
        <v>17.78</v>
      </c>
      <c r="G36" s="86" t="s">
        <v>81</v>
      </c>
      <c r="H36" s="83" t="s">
        <v>67</v>
      </c>
      <c r="I36" s="62"/>
      <c r="J36" s="9"/>
      <c r="K36" s="55"/>
      <c r="L36" s="104"/>
      <c r="M36" s="104"/>
      <c r="N36" s="79" t="str">
        <f t="shared" si="0"/>
        <v/>
      </c>
      <c r="O36" s="106"/>
      <c r="P36" s="62"/>
      <c r="Q36" s="80"/>
      <c r="R36" s="55"/>
      <c r="S36" s="108"/>
      <c r="T36" s="66"/>
      <c r="U36" s="81"/>
      <c r="V36" s="55"/>
      <c r="W36" s="79" t="str" cm="1">
        <f t="array" ref="W36">_xlfn.IFS($E$2="","",AND($E$2="Servings",L36="",M36="",O36=""),"",$E$2="Servings",(L36*M36)+(E36*O36),AND($E$2="Cases",E36*S36=0),"",$E$2="Cases",E36*S36)</f>
        <v/>
      </c>
      <c r="X36" s="62"/>
    </row>
    <row r="37" spans="1:24" ht="19" thickBot="1" x14ac:dyDescent="0.4">
      <c r="B37" s="55"/>
      <c r="C37" s="68" t="s">
        <v>122</v>
      </c>
      <c r="D37" s="69"/>
      <c r="E37" s="70"/>
      <c r="F37" s="71"/>
      <c r="G37" s="64"/>
      <c r="H37" s="72"/>
      <c r="I37" s="62"/>
      <c r="J37" s="9"/>
      <c r="K37" s="55"/>
      <c r="L37" s="131"/>
      <c r="M37" s="71"/>
      <c r="N37" s="71"/>
      <c r="O37" s="64"/>
      <c r="P37" s="62"/>
      <c r="Q37" s="65"/>
      <c r="R37" s="55"/>
      <c r="S37" s="63"/>
      <c r="T37" s="66"/>
      <c r="U37" s="67"/>
      <c r="V37" s="55"/>
      <c r="W37" s="63"/>
      <c r="X37" s="62"/>
    </row>
    <row r="38" spans="1:24" ht="22.5" customHeight="1" x14ac:dyDescent="0.35">
      <c r="B38" s="88"/>
      <c r="C38" s="87">
        <v>37101</v>
      </c>
      <c r="D38" s="22" t="s">
        <v>100</v>
      </c>
      <c r="E38" s="75">
        <v>123</v>
      </c>
      <c r="F38" s="76">
        <v>47.63</v>
      </c>
      <c r="G38" s="89" t="s">
        <v>83</v>
      </c>
      <c r="H38" s="83" t="s">
        <v>67</v>
      </c>
      <c r="I38" s="62"/>
      <c r="J38" s="9"/>
      <c r="K38" s="88"/>
      <c r="L38" s="104"/>
      <c r="M38" s="104"/>
      <c r="N38" s="79" t="str">
        <f t="shared" si="0"/>
        <v/>
      </c>
      <c r="O38" s="106"/>
      <c r="P38" s="62"/>
      <c r="Q38" s="80"/>
      <c r="R38" s="88"/>
      <c r="S38" s="106"/>
      <c r="T38" s="66"/>
      <c r="U38" s="81"/>
      <c r="V38" s="55"/>
      <c r="W38" s="79" t="str" cm="1">
        <f t="array" ref="W38">_xlfn.IFS($E$2="","",AND($E$2="Servings",L38="",M38="",O38=""),"",$E$2="Servings",(L38*M38)+(E38*O38),AND($E$2="Cases",E38*S38=0),"",$E$2="Cases",E38*S38)</f>
        <v/>
      </c>
      <c r="X38" s="62"/>
    </row>
    <row r="39" spans="1:24" s="90" customFormat="1" ht="22.5" customHeight="1" x14ac:dyDescent="0.35">
      <c r="B39" s="91"/>
      <c r="C39" s="87">
        <v>81401</v>
      </c>
      <c r="D39" s="22" t="s">
        <v>23</v>
      </c>
      <c r="E39" s="75">
        <v>232</v>
      </c>
      <c r="F39" s="76">
        <v>53.3</v>
      </c>
      <c r="G39" s="77" t="s">
        <v>83</v>
      </c>
      <c r="H39" s="83" t="s">
        <v>67</v>
      </c>
      <c r="I39" s="92"/>
      <c r="K39" s="91"/>
      <c r="L39" s="104"/>
      <c r="M39" s="104"/>
      <c r="N39" s="79" t="str">
        <f t="shared" si="0"/>
        <v/>
      </c>
      <c r="O39" s="106"/>
      <c r="P39" s="62"/>
      <c r="Q39" s="80"/>
      <c r="R39" s="91"/>
      <c r="S39" s="106"/>
      <c r="T39" s="66"/>
      <c r="U39" s="81"/>
      <c r="V39" s="55"/>
      <c r="W39" s="79" t="str" cm="1">
        <f t="array" ref="W39">_xlfn.IFS($E$2="","",AND($E$2="Servings",L39="",M39="",O39=""),"",$E$2="Servings",(L39*M39)+(E39*O39),AND($E$2="Cases",E39*S39=0),"",$E$2="Cases",E39*S39)</f>
        <v/>
      </c>
      <c r="X39" s="92"/>
    </row>
    <row r="40" spans="1:24" s="90" customFormat="1" ht="22.5" customHeight="1" x14ac:dyDescent="0.35">
      <c r="B40" s="91"/>
      <c r="C40" s="87">
        <v>91401</v>
      </c>
      <c r="D40" s="22" t="s">
        <v>25</v>
      </c>
      <c r="E40" s="75">
        <v>123</v>
      </c>
      <c r="F40" s="76">
        <v>39.270000000000003</v>
      </c>
      <c r="G40" s="89" t="s">
        <v>83</v>
      </c>
      <c r="H40" s="83" t="s">
        <v>62</v>
      </c>
      <c r="I40" s="92"/>
      <c r="K40" s="91"/>
      <c r="L40" s="104"/>
      <c r="M40" s="104"/>
      <c r="N40" s="79" t="str">
        <f t="shared" si="0"/>
        <v/>
      </c>
      <c r="O40" s="106"/>
      <c r="P40" s="62"/>
      <c r="Q40" s="80"/>
      <c r="R40" s="91"/>
      <c r="S40" s="106"/>
      <c r="T40" s="66"/>
      <c r="U40" s="81"/>
      <c r="V40" s="55"/>
      <c r="W40" s="79" t="str" cm="1">
        <f t="array" ref="W40">_xlfn.IFS($E$2="","",AND($E$2="Servings",L40="",M40="",O40=""),"",$E$2="Servings",(L40*M40)+(E40*O40),AND($E$2="Cases",E40*S40=0),"",$E$2="Cases",E40*S40)</f>
        <v/>
      </c>
      <c r="X40" s="92"/>
    </row>
    <row r="41" spans="1:24" s="90" customFormat="1" ht="22.5" customHeight="1" x14ac:dyDescent="0.35">
      <c r="B41" s="91"/>
      <c r="C41" s="87">
        <v>91402</v>
      </c>
      <c r="D41" s="22" t="s">
        <v>26</v>
      </c>
      <c r="E41" s="75">
        <v>123</v>
      </c>
      <c r="F41" s="76">
        <v>38.590000000000003</v>
      </c>
      <c r="G41" s="89" t="s">
        <v>83</v>
      </c>
      <c r="H41" s="83" t="s">
        <v>60</v>
      </c>
      <c r="I41" s="92"/>
      <c r="K41" s="91"/>
      <c r="L41" s="104"/>
      <c r="M41" s="104"/>
      <c r="N41" s="79" t="str">
        <f t="shared" si="0"/>
        <v/>
      </c>
      <c r="O41" s="106"/>
      <c r="P41" s="62"/>
      <c r="Q41" s="80"/>
      <c r="R41" s="91"/>
      <c r="S41" s="106"/>
      <c r="T41" s="66"/>
      <c r="U41" s="81"/>
      <c r="V41" s="55"/>
      <c r="W41" s="79" t="str" cm="1">
        <f t="array" ref="W41">_xlfn.IFS($E$2="","",AND($E$2="Servings",L41="",M41="",O41=""),"",$E$2="Servings",(L41*M41)+(E41*O41),AND($E$2="Cases",E41*S41=0),"",$E$2="Cases",E41*S41)</f>
        <v/>
      </c>
      <c r="X41" s="92"/>
    </row>
    <row r="42" spans="1:24" s="90" customFormat="1" ht="22.5" customHeight="1" x14ac:dyDescent="0.35">
      <c r="B42" s="91"/>
      <c r="C42" s="87">
        <v>91409</v>
      </c>
      <c r="D42" s="22" t="s">
        <v>27</v>
      </c>
      <c r="E42" s="75">
        <v>123</v>
      </c>
      <c r="F42" s="76">
        <v>39.270000000000003</v>
      </c>
      <c r="G42" s="89" t="s">
        <v>83</v>
      </c>
      <c r="H42" s="83" t="s">
        <v>63</v>
      </c>
      <c r="I42" s="92"/>
      <c r="K42" s="91"/>
      <c r="L42" s="104"/>
      <c r="M42" s="104"/>
      <c r="N42" s="79" t="str">
        <f t="shared" si="0"/>
        <v/>
      </c>
      <c r="O42" s="106"/>
      <c r="P42" s="62"/>
      <c r="Q42" s="80"/>
      <c r="R42" s="91"/>
      <c r="S42" s="106"/>
      <c r="T42" s="66"/>
      <c r="U42" s="81"/>
      <c r="V42" s="55"/>
      <c r="W42" s="79" t="str" cm="1">
        <f t="array" ref="W42">_xlfn.IFS($E$2="","",AND($E$2="Servings",L42="",M42="",O42=""),"",$E$2="Servings",(L42*M42)+(E42*O42),AND($E$2="Cases",E42*S42=0),"",$E$2="Cases",E42*S42)</f>
        <v/>
      </c>
      <c r="X42" s="92"/>
    </row>
    <row r="43" spans="1:24" s="90" customFormat="1" ht="22.5" customHeight="1" x14ac:dyDescent="0.35">
      <c r="B43" s="91"/>
      <c r="C43" s="87">
        <v>94403</v>
      </c>
      <c r="D43" s="22" t="s">
        <v>24</v>
      </c>
      <c r="E43" s="75">
        <v>78</v>
      </c>
      <c r="F43" s="76">
        <v>31.8</v>
      </c>
      <c r="G43" s="77" t="s">
        <v>83</v>
      </c>
      <c r="H43" s="83" t="s">
        <v>60</v>
      </c>
      <c r="I43" s="92"/>
      <c r="K43" s="91"/>
      <c r="L43" s="104"/>
      <c r="M43" s="104"/>
      <c r="N43" s="79" t="str">
        <f t="shared" si="0"/>
        <v/>
      </c>
      <c r="O43" s="106"/>
      <c r="P43" s="62"/>
      <c r="Q43" s="80"/>
      <c r="R43" s="91"/>
      <c r="S43" s="106"/>
      <c r="T43" s="66"/>
      <c r="U43" s="81"/>
      <c r="V43" s="55"/>
      <c r="W43" s="79" t="str" cm="1">
        <f t="array" ref="W43">_xlfn.IFS($E$2="","",AND($E$2="Servings",L43="",M43="",O43=""),"",$E$2="Servings",(L43*M43)+(E43*O43),AND($E$2="Cases",E43*S43=0),"",$E$2="Cases",E43*S43)</f>
        <v/>
      </c>
      <c r="X43" s="92"/>
    </row>
    <row r="44" spans="1:24" s="90" customFormat="1" ht="22.5" customHeight="1" thickBot="1" x14ac:dyDescent="0.4">
      <c r="B44" s="91"/>
      <c r="C44" s="87">
        <v>94405</v>
      </c>
      <c r="D44" s="22" t="s">
        <v>108</v>
      </c>
      <c r="E44" s="75">
        <v>78</v>
      </c>
      <c r="F44" s="76">
        <v>31.8</v>
      </c>
      <c r="G44" s="77" t="s">
        <v>83</v>
      </c>
      <c r="H44" s="83" t="s">
        <v>64</v>
      </c>
      <c r="I44" s="92"/>
      <c r="K44" s="91"/>
      <c r="L44" s="104"/>
      <c r="M44" s="104"/>
      <c r="N44" s="79" t="str">
        <f t="shared" si="0"/>
        <v/>
      </c>
      <c r="O44" s="106"/>
      <c r="P44" s="62"/>
      <c r="Q44" s="80"/>
      <c r="R44" s="91"/>
      <c r="S44" s="106"/>
      <c r="T44" s="66"/>
      <c r="U44" s="81"/>
      <c r="V44" s="55"/>
      <c r="W44" s="79" t="str" cm="1">
        <f t="array" ref="W44">_xlfn.IFS($E$2="","",AND($E$2="Servings",L44="",M44="",O44=""),"",$E$2="Servings",(L44*M44)+(E44*O44),AND($E$2="Cases",E44*S44=0),"",$E$2="Cases",E44*S44)</f>
        <v/>
      </c>
      <c r="X44" s="92"/>
    </row>
    <row r="45" spans="1:24" s="90" customFormat="1" ht="22.5" customHeight="1" thickBot="1" x14ac:dyDescent="0.4">
      <c r="B45" s="91"/>
      <c r="C45" s="68" t="s">
        <v>123</v>
      </c>
      <c r="D45" s="69"/>
      <c r="E45" s="70"/>
      <c r="F45" s="71"/>
      <c r="G45" s="64"/>
      <c r="H45" s="83" t="s">
        <v>66</v>
      </c>
      <c r="I45" s="92"/>
      <c r="K45" s="91"/>
      <c r="L45" s="133"/>
      <c r="M45" s="134"/>
      <c r="N45" s="134"/>
      <c r="O45" s="135"/>
      <c r="P45" s="62"/>
      <c r="Q45" s="80"/>
      <c r="R45" s="91"/>
      <c r="S45" s="63"/>
      <c r="T45" s="66"/>
      <c r="U45" s="81"/>
      <c r="V45" s="55"/>
      <c r="W45" s="63"/>
      <c r="X45" s="92"/>
    </row>
    <row r="46" spans="1:24" ht="19" thickBot="1" x14ac:dyDescent="0.4">
      <c r="B46" s="55"/>
      <c r="C46" s="93">
        <v>97103</v>
      </c>
      <c r="D46" s="23" t="s">
        <v>109</v>
      </c>
      <c r="E46" s="94">
        <v>104</v>
      </c>
      <c r="F46" s="95">
        <v>37.42</v>
      </c>
      <c r="G46" s="96" t="s">
        <v>82</v>
      </c>
      <c r="H46" s="72"/>
      <c r="I46" s="62"/>
      <c r="J46" s="9"/>
      <c r="K46" s="55"/>
      <c r="L46" s="104"/>
      <c r="M46" s="104"/>
      <c r="N46" s="79" t="str">
        <f t="shared" si="0"/>
        <v/>
      </c>
      <c r="O46" s="106"/>
      <c r="P46" s="62"/>
      <c r="Q46" s="65"/>
      <c r="R46" s="55"/>
      <c r="S46" s="106"/>
      <c r="T46" s="66"/>
      <c r="U46" s="67"/>
      <c r="V46" s="55"/>
      <c r="W46" s="79" t="str" cm="1">
        <f t="array" ref="W46">_xlfn.IFS($E$2="","",AND($E$2="Servings",L46="",M46="",O46=""),"",$E$2="Servings",(L46*M46)+(E46*O46),AND($E$2="Cases",E46*S46=0),"",$E$2="Cases",E46*S46)</f>
        <v/>
      </c>
      <c r="X46" s="62"/>
    </row>
    <row r="47" spans="1:24" ht="22.5" customHeight="1" thickBot="1" x14ac:dyDescent="0.4">
      <c r="A47" s="85"/>
      <c r="B47" s="55"/>
      <c r="C47" s="68" t="s">
        <v>121</v>
      </c>
      <c r="D47" s="69"/>
      <c r="E47" s="70"/>
      <c r="F47" s="71"/>
      <c r="G47" s="64"/>
      <c r="H47" s="83" t="s">
        <v>65</v>
      </c>
      <c r="I47" s="62"/>
      <c r="J47" s="9"/>
      <c r="K47" s="55"/>
      <c r="L47" s="133"/>
      <c r="M47" s="134"/>
      <c r="N47" s="134"/>
      <c r="O47" s="135"/>
      <c r="P47" s="62"/>
      <c r="Q47" s="80"/>
      <c r="R47" s="55"/>
      <c r="S47" s="63"/>
      <c r="T47" s="66"/>
      <c r="U47" s="81"/>
      <c r="V47" s="55"/>
      <c r="W47" s="63"/>
      <c r="X47" s="62"/>
    </row>
    <row r="48" spans="1:24" ht="22.5" customHeight="1" x14ac:dyDescent="0.35">
      <c r="A48" s="85"/>
      <c r="B48" s="55"/>
      <c r="C48" s="87">
        <v>54405</v>
      </c>
      <c r="D48" s="22" t="s">
        <v>34</v>
      </c>
      <c r="E48" s="75">
        <v>156</v>
      </c>
      <c r="F48" s="76">
        <v>22.77</v>
      </c>
      <c r="G48" s="86" t="s">
        <v>84</v>
      </c>
      <c r="H48" s="83" t="s">
        <v>70</v>
      </c>
      <c r="I48" s="62"/>
      <c r="J48" s="9"/>
      <c r="K48" s="55"/>
      <c r="L48" s="104"/>
      <c r="M48" s="104"/>
      <c r="N48" s="79" t="str">
        <f t="shared" si="0"/>
        <v/>
      </c>
      <c r="O48" s="107"/>
      <c r="P48" s="62"/>
      <c r="Q48" s="80"/>
      <c r="R48" s="55"/>
      <c r="S48" s="106"/>
      <c r="T48" s="66"/>
      <c r="U48" s="81"/>
      <c r="V48" s="55"/>
      <c r="W48" s="79" t="str" cm="1">
        <f t="array" ref="W48">_xlfn.IFS($E$2="","",AND($E$2="Servings",L48="",M48="",O48=""),"",$E$2="Servings",(L48*M48)+(E48*O48),AND($E$2="Cases",E48*S48=0),"",$E$2="Cases",E48*S48)</f>
        <v/>
      </c>
      <c r="X48" s="62"/>
    </row>
    <row r="49" spans="1:24" ht="22.5" customHeight="1" x14ac:dyDescent="0.35">
      <c r="A49" s="85"/>
      <c r="B49" s="55"/>
      <c r="C49" s="87">
        <v>54407</v>
      </c>
      <c r="D49" s="22" t="s">
        <v>103</v>
      </c>
      <c r="E49" s="75">
        <v>76</v>
      </c>
      <c r="F49" s="76">
        <v>22.77</v>
      </c>
      <c r="G49" s="86" t="s">
        <v>84</v>
      </c>
      <c r="H49" s="83" t="s">
        <v>75</v>
      </c>
      <c r="I49" s="62"/>
      <c r="J49" s="9"/>
      <c r="K49" s="55"/>
      <c r="L49" s="104"/>
      <c r="M49" s="104"/>
      <c r="N49" s="79" t="str">
        <f t="shared" si="0"/>
        <v/>
      </c>
      <c r="O49" s="106"/>
      <c r="P49" s="62"/>
      <c r="Q49" s="80"/>
      <c r="R49" s="55"/>
      <c r="S49" s="106"/>
      <c r="T49" s="66"/>
      <c r="U49" s="81"/>
      <c r="V49" s="55"/>
      <c r="W49" s="79" t="str" cm="1">
        <f t="array" ref="W49">_xlfn.IFS($E$2="","",AND($E$2="Servings",L49="",M49="",O49=""),"",$E$2="Servings",(L49*M49)+(E49*O49),AND($E$2="Cases",E49*S49=0),"",$E$2="Cases",E49*S49)</f>
        <v/>
      </c>
      <c r="X49" s="62"/>
    </row>
    <row r="50" spans="1:24" ht="22.5" customHeight="1" x14ac:dyDescent="0.35">
      <c r="A50" s="85"/>
      <c r="B50" s="55"/>
      <c r="C50" s="87">
        <v>54409</v>
      </c>
      <c r="D50" s="22" t="s">
        <v>28</v>
      </c>
      <c r="E50" s="75">
        <v>107</v>
      </c>
      <c r="F50" s="76">
        <v>13.41</v>
      </c>
      <c r="G50" s="86" t="s">
        <v>84</v>
      </c>
      <c r="H50" s="83" t="s">
        <v>76</v>
      </c>
      <c r="I50" s="62"/>
      <c r="J50" s="9"/>
      <c r="K50" s="55"/>
      <c r="L50" s="104"/>
      <c r="M50" s="104"/>
      <c r="N50" s="79" t="str">
        <f t="shared" si="0"/>
        <v/>
      </c>
      <c r="O50" s="106"/>
      <c r="P50" s="62"/>
      <c r="Q50" s="80"/>
      <c r="R50" s="55"/>
      <c r="S50" s="106"/>
      <c r="T50" s="66"/>
      <c r="U50" s="81"/>
      <c r="V50" s="55"/>
      <c r="W50" s="79" t="str" cm="1">
        <f t="array" ref="W50">_xlfn.IFS($E$2="","",AND($E$2="Servings",L50="",M50="",O50=""),"",$E$2="Servings",(L50*M50)+(E50*O50),AND($E$2="Cases",E50*S50=0),"",$E$2="Cases",E50*S50)</f>
        <v/>
      </c>
      <c r="X50" s="62"/>
    </row>
    <row r="51" spans="1:24" ht="22.5" customHeight="1" x14ac:dyDescent="0.35">
      <c r="A51" s="85"/>
      <c r="B51" s="55"/>
      <c r="C51" s="87">
        <v>54410</v>
      </c>
      <c r="D51" s="22" t="s">
        <v>29</v>
      </c>
      <c r="E51" s="75">
        <v>107</v>
      </c>
      <c r="F51" s="76">
        <v>13.41</v>
      </c>
      <c r="G51" s="86" t="s">
        <v>84</v>
      </c>
      <c r="H51" s="83" t="s">
        <v>69</v>
      </c>
      <c r="I51" s="62"/>
      <c r="J51" s="9"/>
      <c r="K51" s="55"/>
      <c r="L51" s="104"/>
      <c r="M51" s="104"/>
      <c r="N51" s="79" t="str">
        <f t="shared" si="0"/>
        <v/>
      </c>
      <c r="O51" s="106"/>
      <c r="P51" s="62"/>
      <c r="Q51" s="80"/>
      <c r="R51" s="55"/>
      <c r="S51" s="106"/>
      <c r="T51" s="66"/>
      <c r="U51" s="81"/>
      <c r="V51" s="55"/>
      <c r="W51" s="79" t="str" cm="1">
        <f t="array" ref="W51">_xlfn.IFS($E$2="","",AND($E$2="Servings",L51="",M51="",O51=""),"",$E$2="Servings",(L51*M51)+(E51*O51),AND($E$2="Cases",E51*S51=0),"",$E$2="Cases",E51*S51)</f>
        <v/>
      </c>
      <c r="X51" s="62"/>
    </row>
    <row r="52" spans="1:24" ht="22.5" customHeight="1" x14ac:dyDescent="0.35">
      <c r="A52" s="85"/>
      <c r="B52" s="55"/>
      <c r="C52" s="87">
        <v>54411</v>
      </c>
      <c r="D52" s="22" t="s">
        <v>30</v>
      </c>
      <c r="E52" s="75">
        <v>214</v>
      </c>
      <c r="F52" s="76">
        <v>13.41</v>
      </c>
      <c r="G52" s="86" t="s">
        <v>84</v>
      </c>
      <c r="H52" s="83" t="s">
        <v>71</v>
      </c>
      <c r="I52" s="62"/>
      <c r="J52" s="9"/>
      <c r="K52" s="55"/>
      <c r="L52" s="104"/>
      <c r="M52" s="104"/>
      <c r="N52" s="79" t="str">
        <f t="shared" si="0"/>
        <v/>
      </c>
      <c r="O52" s="106"/>
      <c r="P52" s="62"/>
      <c r="Q52" s="80"/>
      <c r="R52" s="55"/>
      <c r="S52" s="106"/>
      <c r="T52" s="66"/>
      <c r="U52" s="81"/>
      <c r="V52" s="55"/>
      <c r="W52" s="79" t="str" cm="1">
        <f t="array" ref="W52">_xlfn.IFS($E$2="","",AND($E$2="Servings",L52="",M52="",O52=""),"",$E$2="Servings",(L52*M52)+(E52*O52),AND($E$2="Cases",E52*S52=0),"",$E$2="Cases",E52*S52)</f>
        <v/>
      </c>
      <c r="X52" s="62"/>
    </row>
    <row r="53" spans="1:24" ht="22.5" customHeight="1" thickBot="1" x14ac:dyDescent="0.4">
      <c r="A53" s="85"/>
      <c r="B53" s="55"/>
      <c r="C53" s="87">
        <v>54453</v>
      </c>
      <c r="D53" s="22" t="s">
        <v>31</v>
      </c>
      <c r="E53" s="75">
        <v>107</v>
      </c>
      <c r="F53" s="76">
        <v>13.41</v>
      </c>
      <c r="G53" s="86" t="s">
        <v>84</v>
      </c>
      <c r="H53" s="83" t="s">
        <v>71</v>
      </c>
      <c r="I53" s="62"/>
      <c r="J53" s="9"/>
      <c r="K53" s="55"/>
      <c r="L53" s="104"/>
      <c r="M53" s="104"/>
      <c r="N53" s="79" t="str">
        <f t="shared" si="0"/>
        <v/>
      </c>
      <c r="O53" s="106"/>
      <c r="P53" s="62"/>
      <c r="Q53" s="80"/>
      <c r="R53" s="55"/>
      <c r="S53" s="106"/>
      <c r="T53" s="66"/>
      <c r="U53" s="81"/>
      <c r="V53" s="55"/>
      <c r="W53" s="79" t="str" cm="1">
        <f t="array" ref="W53">_xlfn.IFS($E$2="","",AND($E$2="Servings",L53="",M53="",O53=""),"",$E$2="Servings",(L53*M53)+(E53*O53),AND($E$2="Cases",E53*S53=0),"",$E$2="Cases",E53*S53)</f>
        <v/>
      </c>
      <c r="X53" s="62"/>
    </row>
    <row r="54" spans="1:24" ht="18.5" x14ac:dyDescent="0.35">
      <c r="B54" s="55"/>
      <c r="C54" s="87">
        <v>54463</v>
      </c>
      <c r="D54" s="22" t="s">
        <v>32</v>
      </c>
      <c r="E54" s="75">
        <v>107</v>
      </c>
      <c r="F54" s="76">
        <v>13.41</v>
      </c>
      <c r="G54" s="86" t="s">
        <v>84</v>
      </c>
      <c r="H54" s="72"/>
      <c r="I54" s="62"/>
      <c r="J54" s="9"/>
      <c r="K54" s="55"/>
      <c r="L54" s="104"/>
      <c r="M54" s="104"/>
      <c r="N54" s="79" t="str">
        <f t="shared" si="0"/>
        <v/>
      </c>
      <c r="O54" s="106"/>
      <c r="P54" s="62"/>
      <c r="Q54" s="65"/>
      <c r="R54" s="55"/>
      <c r="S54" s="106"/>
      <c r="T54" s="66"/>
      <c r="U54" s="67"/>
      <c r="V54" s="55"/>
      <c r="W54" s="79" t="str" cm="1">
        <f t="array" ref="W54">_xlfn.IFS($E$2="","",AND($E$2="Servings",L54="",M54="",O54=""),"",$E$2="Servings",(L54*M54)+(E54*O54),AND($E$2="Cases",E54*S54=0),"",$E$2="Cases",E54*S54)</f>
        <v/>
      </c>
      <c r="X54" s="62"/>
    </row>
    <row r="55" spans="1:24" ht="22.5" customHeight="1" thickBot="1" x14ac:dyDescent="0.4">
      <c r="A55" s="85"/>
      <c r="B55" s="55"/>
      <c r="C55" s="87">
        <v>54464</v>
      </c>
      <c r="D55" s="22" t="s">
        <v>39</v>
      </c>
      <c r="E55" s="75">
        <v>107</v>
      </c>
      <c r="F55" s="76">
        <v>13.41</v>
      </c>
      <c r="G55" s="86" t="s">
        <v>84</v>
      </c>
      <c r="H55" s="97" t="s">
        <v>68</v>
      </c>
      <c r="I55" s="62"/>
      <c r="J55" s="9"/>
      <c r="K55" s="55"/>
      <c r="L55" s="105"/>
      <c r="M55" s="105"/>
      <c r="N55" s="98" t="str">
        <f t="shared" si="0"/>
        <v/>
      </c>
      <c r="O55" s="108"/>
      <c r="P55" s="62"/>
      <c r="Q55" s="80"/>
      <c r="R55" s="55"/>
      <c r="S55" s="108"/>
      <c r="T55" s="66"/>
      <c r="U55" s="81"/>
      <c r="V55" s="55"/>
      <c r="W55" s="98" t="str" cm="1">
        <f t="array" ref="W55">_xlfn.IFS($E$2="","",AND($E$2="Servings",L55="",M55="",O55=""),"",$E$2="Servings",(L55*M55)+(E55*O55),AND($E$2="Cases",E55*S55=0),"",$E$2="Cases",E55*S55)</f>
        <v/>
      </c>
      <c r="X55" s="62"/>
    </row>
    <row r="56" spans="1:24" ht="9" customHeight="1" thickBot="1" x14ac:dyDescent="0.4">
      <c r="B56" s="99"/>
      <c r="C56" s="100"/>
      <c r="D56" s="101"/>
      <c r="E56" s="100"/>
      <c r="F56" s="100"/>
      <c r="G56" s="102"/>
      <c r="H56" s="100"/>
      <c r="I56" s="103"/>
      <c r="J56" s="9"/>
      <c r="K56" s="99"/>
      <c r="L56" s="101"/>
      <c r="M56" s="101"/>
      <c r="N56" s="101"/>
      <c r="O56" s="101"/>
      <c r="P56" s="103"/>
      <c r="R56" s="99"/>
      <c r="S56" s="101"/>
      <c r="T56" s="103"/>
      <c r="V56" s="99"/>
      <c r="W56" s="101"/>
      <c r="X56" s="103"/>
    </row>
    <row r="57" spans="1:24" ht="77.25" customHeight="1" x14ac:dyDescent="0.35"/>
  </sheetData>
  <sheetProtection algorithmName="SHA-512" hashValue="ilFeVSYcEEmuII8JnBYfsi+aK74M3wOVSR9j3BHK6eyP944Lfz1C1D8pq1GzcU8souymGoynHM6Ks+AFjNE8BA==" saltValue="hBQM+x6TSbe7YSZDxZgb5Q==" spinCount="100000" sheet="1" objects="1" scenarios="1" selectLockedCells="1"/>
  <mergeCells count="1">
    <mergeCell ref="C2:D2"/>
  </mergeCells>
  <conditionalFormatting sqref="K10:P10 K11:K55 P11:P55 K56:P56">
    <cfRule type="expression" dxfId="5" priority="129">
      <formula>$E$2="Cases"</formula>
    </cfRule>
  </conditionalFormatting>
  <conditionalFormatting sqref="K10:X56">
    <cfRule type="expression" dxfId="4" priority="133">
      <formula>$E$2=""</formula>
    </cfRule>
  </conditionalFormatting>
  <conditionalFormatting sqref="L11:O55">
    <cfRule type="expression" dxfId="3" priority="134">
      <formula>$E$2="Cases"</formula>
    </cfRule>
  </conditionalFormatting>
  <conditionalFormatting sqref="R10:T10 R11:R55 T11:T55 R56:T56">
    <cfRule type="expression" dxfId="2" priority="135">
      <formula>$E$2="Servings"</formula>
    </cfRule>
  </conditionalFormatting>
  <conditionalFormatting sqref="S11:S55">
    <cfRule type="expression" dxfId="1" priority="139">
      <formula>$E$2="Servings"</formula>
    </cfRule>
  </conditionalFormatting>
  <printOptions horizontalCentered="1" verticalCentered="1"/>
  <pageMargins left="0.25" right="0.25" top="0.25" bottom="0.25" header="0.3" footer="0.3"/>
  <pageSetup scale="45" fitToHeight="0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0EE755-E56C-4122-8841-A6281738EE8B}">
          <x14:formula1>
            <xm:f>Conversions!$D$1:$D$3</xm:f>
          </x14:formula1>
          <xm:sqref>E2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4A098-FC00-4562-AA6E-707CACA07532}">
  <sheetPr>
    <pageSetUpPr fitToPage="1"/>
  </sheetPr>
  <dimension ref="A1:T50"/>
  <sheetViews>
    <sheetView showGridLines="0" zoomScale="70" zoomScaleNormal="70" workbookViewId="0">
      <pane ySplit="4" topLeftCell="A5" activePane="bottomLeft" state="frozen"/>
      <selection pane="bottomLeft" activeCell="H6" sqref="H6"/>
    </sheetView>
  </sheetViews>
  <sheetFormatPr defaultColWidth="9.08984375" defaultRowHeight="14.5" x14ac:dyDescent="0.35"/>
  <cols>
    <col min="1" max="2" width="3.54296875" style="9" customWidth="1"/>
    <col min="3" max="3" width="21.54296875" style="44" customWidth="1"/>
    <col min="4" max="4" width="95.08984375" style="9" customWidth="1"/>
    <col min="5" max="7" width="17.36328125" style="9" customWidth="1"/>
    <col min="8" max="19" width="13.36328125" style="44" customWidth="1"/>
    <col min="20" max="20" width="3.54296875" style="9" customWidth="1"/>
    <col min="21" max="16384" width="9.08984375" style="9"/>
  </cols>
  <sheetData>
    <row r="1" spans="1:20" ht="18.75" customHeight="1" x14ac:dyDescent="0.35">
      <c r="C1" s="9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20" ht="84.75" customHeight="1" thickBot="1" x14ac:dyDescent="0.65">
      <c r="A2" s="48"/>
      <c r="C2" s="9"/>
      <c r="D2" s="161" t="s">
        <v>142</v>
      </c>
      <c r="E2" s="161"/>
      <c r="F2" s="161"/>
      <c r="G2" s="161"/>
      <c r="H2" s="161"/>
      <c r="I2" s="161"/>
      <c r="J2" s="161"/>
      <c r="K2" s="11"/>
      <c r="L2" s="11"/>
      <c r="M2" s="11"/>
      <c r="N2" s="11"/>
      <c r="O2" s="11"/>
      <c r="P2" s="11"/>
      <c r="Q2" s="11"/>
      <c r="R2" s="11"/>
      <c r="S2" s="11"/>
    </row>
    <row r="3" spans="1:20" ht="19.5" customHeight="1" thickBot="1" x14ac:dyDescent="0.4">
      <c r="B3" s="49"/>
      <c r="C3" s="50"/>
      <c r="D3" s="53"/>
      <c r="E3" s="53"/>
      <c r="F3" s="53"/>
      <c r="G3" s="53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2"/>
    </row>
    <row r="4" spans="1:20" ht="86.25" customHeight="1" thickBot="1" x14ac:dyDescent="0.4">
      <c r="B4" s="55"/>
      <c r="C4" s="109" t="s">
        <v>37</v>
      </c>
      <c r="D4" s="110" t="s">
        <v>0</v>
      </c>
      <c r="E4" s="111" t="s">
        <v>115</v>
      </c>
      <c r="F4" s="111" t="s">
        <v>116</v>
      </c>
      <c r="G4" s="111" t="s">
        <v>117</v>
      </c>
      <c r="H4" s="112" t="s">
        <v>2</v>
      </c>
      <c r="I4" s="112" t="s">
        <v>3</v>
      </c>
      <c r="J4" s="112" t="s">
        <v>4</v>
      </c>
      <c r="K4" s="112" t="s">
        <v>5</v>
      </c>
      <c r="L4" s="112" t="s">
        <v>6</v>
      </c>
      <c r="M4" s="112" t="s">
        <v>7</v>
      </c>
      <c r="N4" s="112" t="s">
        <v>8</v>
      </c>
      <c r="O4" s="112" t="s">
        <v>9</v>
      </c>
      <c r="P4" s="112" t="s">
        <v>10</v>
      </c>
      <c r="Q4" s="112" t="s">
        <v>11</v>
      </c>
      <c r="R4" s="112" t="s">
        <v>12</v>
      </c>
      <c r="S4" s="112" t="s">
        <v>13</v>
      </c>
      <c r="T4" s="62"/>
    </row>
    <row r="5" spans="1:20" s="118" customFormat="1" ht="30" customHeight="1" x14ac:dyDescent="0.35">
      <c r="A5" s="73"/>
      <c r="B5" s="113"/>
      <c r="C5" s="114" t="str" cm="1">
        <f t="array" ref="C5">_xlfn.IFS(Calculator!E2="","",Calculator!E2="Servings",_xlfn._xlws.FILTER(Table29[[Product Code]:[Cases Entered]],(Table29[Cases Entered]),""),Calculator!E2="Cases",_xlfn._xlws.FILTER(Table292[[Product Code]:[Cases Entered]],Table292[Cases Entered],""))</f>
        <v/>
      </c>
      <c r="D5" s="115"/>
      <c r="E5" s="116"/>
      <c r="F5" s="116" t="str">
        <f t="shared" ref="F5:F42" si="0">IF(E5="","",SUM(H5:S5))</f>
        <v/>
      </c>
      <c r="G5" s="116" t="str">
        <f>IF(E5="","",E5-F5)</f>
        <v/>
      </c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9"/>
      <c r="T5" s="117"/>
    </row>
    <row r="6" spans="1:20" ht="24.9" customHeight="1" x14ac:dyDescent="0.35">
      <c r="A6" s="73"/>
      <c r="B6" s="55"/>
      <c r="C6" s="114"/>
      <c r="D6" s="115"/>
      <c r="E6" s="119"/>
      <c r="F6" s="119" t="str">
        <f t="shared" si="0"/>
        <v/>
      </c>
      <c r="G6" s="119" t="str">
        <f t="shared" ref="G6:G42" si="1">IF(E6="","",E6-F6)</f>
        <v/>
      </c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9"/>
      <c r="T6" s="62"/>
    </row>
    <row r="7" spans="1:20" ht="24.9" customHeight="1" x14ac:dyDescent="0.35">
      <c r="A7" s="73"/>
      <c r="B7" s="55"/>
      <c r="C7" s="114"/>
      <c r="D7" s="115"/>
      <c r="E7" s="119"/>
      <c r="F7" s="119" t="str">
        <f t="shared" si="0"/>
        <v/>
      </c>
      <c r="G7" s="119" t="str">
        <f t="shared" si="1"/>
        <v/>
      </c>
      <c r="H7" s="17"/>
      <c r="I7" s="18"/>
      <c r="J7" s="18"/>
      <c r="K7" s="18"/>
      <c r="L7" s="18"/>
      <c r="M7" s="18"/>
      <c r="N7" s="18"/>
      <c r="O7" s="18"/>
      <c r="P7" s="18"/>
      <c r="Q7" s="18"/>
      <c r="R7" s="18"/>
      <c r="S7" s="19"/>
      <c r="T7" s="62"/>
    </row>
    <row r="8" spans="1:20" ht="24.9" customHeight="1" x14ac:dyDescent="0.35">
      <c r="A8" s="73"/>
      <c r="B8" s="55"/>
      <c r="C8" s="114"/>
      <c r="D8" s="115"/>
      <c r="E8" s="119"/>
      <c r="F8" s="119" t="str">
        <f t="shared" si="0"/>
        <v/>
      </c>
      <c r="G8" s="119" t="str">
        <f t="shared" si="1"/>
        <v/>
      </c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62"/>
    </row>
    <row r="9" spans="1:20" ht="24.9" customHeight="1" x14ac:dyDescent="0.35">
      <c r="A9" s="84"/>
      <c r="B9" s="55"/>
      <c r="C9" s="114"/>
      <c r="D9" s="115"/>
      <c r="E9" s="119"/>
      <c r="F9" s="119" t="str">
        <f t="shared" si="0"/>
        <v/>
      </c>
      <c r="G9" s="119" t="str">
        <f t="shared" si="1"/>
        <v/>
      </c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  <c r="T9" s="62"/>
    </row>
    <row r="10" spans="1:20" ht="24.9" customHeight="1" x14ac:dyDescent="0.35">
      <c r="A10" s="84"/>
      <c r="B10" s="55"/>
      <c r="C10" s="114"/>
      <c r="D10" s="115"/>
      <c r="E10" s="119"/>
      <c r="F10" s="119" t="str">
        <f t="shared" si="0"/>
        <v/>
      </c>
      <c r="G10" s="119" t="str">
        <f t="shared" si="1"/>
        <v/>
      </c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/>
      <c r="T10" s="62"/>
    </row>
    <row r="11" spans="1:20" ht="24.9" customHeight="1" x14ac:dyDescent="0.35">
      <c r="A11" s="85"/>
      <c r="B11" s="55"/>
      <c r="C11" s="114"/>
      <c r="D11" s="115"/>
      <c r="E11" s="119"/>
      <c r="F11" s="119" t="str">
        <f t="shared" si="0"/>
        <v/>
      </c>
      <c r="G11" s="119" t="str">
        <f t="shared" si="1"/>
        <v/>
      </c>
      <c r="H11" s="13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/>
      <c r="T11" s="62"/>
    </row>
    <row r="12" spans="1:20" ht="24.9" customHeight="1" x14ac:dyDescent="0.35">
      <c r="A12" s="85"/>
      <c r="B12" s="55"/>
      <c r="C12" s="114"/>
      <c r="D12" s="115"/>
      <c r="E12" s="119"/>
      <c r="F12" s="119" t="str">
        <f>IF(E12="","",SUM(H12:S12))</f>
        <v/>
      </c>
      <c r="G12" s="119" t="str">
        <f t="shared" si="1"/>
        <v/>
      </c>
      <c r="H12" s="17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/>
      <c r="T12" s="62"/>
    </row>
    <row r="13" spans="1:20" ht="24.9" customHeight="1" x14ac:dyDescent="0.35">
      <c r="A13" s="85"/>
      <c r="B13" s="55"/>
      <c r="C13" s="114"/>
      <c r="D13" s="115"/>
      <c r="E13" s="119"/>
      <c r="F13" s="119" t="str">
        <f t="shared" si="0"/>
        <v/>
      </c>
      <c r="G13" s="119" t="str">
        <f t="shared" si="1"/>
        <v/>
      </c>
      <c r="H13" s="1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62"/>
    </row>
    <row r="14" spans="1:20" ht="24.9" customHeight="1" x14ac:dyDescent="0.35">
      <c r="A14" s="85"/>
      <c r="B14" s="55"/>
      <c r="C14" s="114"/>
      <c r="D14" s="115"/>
      <c r="E14" s="119"/>
      <c r="F14" s="119" t="str">
        <f t="shared" si="0"/>
        <v/>
      </c>
      <c r="G14" s="119" t="str">
        <f t="shared" si="1"/>
        <v/>
      </c>
      <c r="H14" s="17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  <c r="T14" s="62"/>
    </row>
    <row r="15" spans="1:20" ht="24.9" customHeight="1" x14ac:dyDescent="0.35">
      <c r="A15" s="85"/>
      <c r="B15" s="55"/>
      <c r="C15" s="114"/>
      <c r="D15" s="115"/>
      <c r="E15" s="119"/>
      <c r="F15" s="119" t="str">
        <f t="shared" si="0"/>
        <v/>
      </c>
      <c r="G15" s="119" t="str">
        <f t="shared" si="1"/>
        <v/>
      </c>
      <c r="H15" s="1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62"/>
    </row>
    <row r="16" spans="1:20" ht="24.9" customHeight="1" x14ac:dyDescent="0.35">
      <c r="A16" s="85"/>
      <c r="B16" s="55"/>
      <c r="C16" s="114"/>
      <c r="D16" s="115"/>
      <c r="E16" s="119"/>
      <c r="F16" s="119" t="str">
        <f t="shared" si="0"/>
        <v/>
      </c>
      <c r="G16" s="119" t="str">
        <f t="shared" si="1"/>
        <v/>
      </c>
      <c r="H16" s="17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62"/>
    </row>
    <row r="17" spans="1:20" ht="24.9" customHeight="1" x14ac:dyDescent="0.35">
      <c r="A17" s="85"/>
      <c r="B17" s="55"/>
      <c r="C17" s="114"/>
      <c r="D17" s="115"/>
      <c r="E17" s="119"/>
      <c r="F17" s="119" t="str">
        <f t="shared" si="0"/>
        <v/>
      </c>
      <c r="G17" s="119" t="str">
        <f t="shared" si="1"/>
        <v/>
      </c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9"/>
      <c r="T17" s="62"/>
    </row>
    <row r="18" spans="1:20" ht="24.9" customHeight="1" x14ac:dyDescent="0.35">
      <c r="A18" s="85"/>
      <c r="B18" s="55"/>
      <c r="C18" s="114"/>
      <c r="D18" s="115"/>
      <c r="E18" s="119"/>
      <c r="F18" s="119" t="str">
        <f t="shared" si="0"/>
        <v/>
      </c>
      <c r="G18" s="119" t="str">
        <f t="shared" si="1"/>
        <v/>
      </c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9"/>
      <c r="T18" s="62"/>
    </row>
    <row r="19" spans="1:20" ht="24.9" customHeight="1" x14ac:dyDescent="0.35">
      <c r="A19" s="85"/>
      <c r="B19" s="55"/>
      <c r="C19" s="114"/>
      <c r="D19" s="115"/>
      <c r="E19" s="119"/>
      <c r="F19" s="119" t="str">
        <f t="shared" si="0"/>
        <v/>
      </c>
      <c r="G19" s="119" t="str">
        <f t="shared" si="1"/>
        <v/>
      </c>
      <c r="H19" s="17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9"/>
      <c r="T19" s="62"/>
    </row>
    <row r="20" spans="1:20" ht="24.9" customHeight="1" x14ac:dyDescent="0.35">
      <c r="A20" s="85"/>
      <c r="B20" s="55"/>
      <c r="C20" s="114"/>
      <c r="D20" s="115"/>
      <c r="E20" s="119"/>
      <c r="F20" s="119" t="str">
        <f t="shared" si="0"/>
        <v/>
      </c>
      <c r="G20" s="119" t="str">
        <f t="shared" si="1"/>
        <v/>
      </c>
      <c r="H20" s="17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9"/>
      <c r="T20" s="62"/>
    </row>
    <row r="21" spans="1:20" ht="24.9" customHeight="1" x14ac:dyDescent="0.35">
      <c r="A21" s="85"/>
      <c r="B21" s="55"/>
      <c r="C21" s="114"/>
      <c r="D21" s="115"/>
      <c r="E21" s="119"/>
      <c r="F21" s="119" t="str">
        <f t="shared" si="0"/>
        <v/>
      </c>
      <c r="G21" s="119" t="str">
        <f t="shared" si="1"/>
        <v/>
      </c>
      <c r="H21" s="17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9"/>
      <c r="T21" s="62"/>
    </row>
    <row r="22" spans="1:20" ht="24.9" customHeight="1" x14ac:dyDescent="0.35">
      <c r="A22" s="85"/>
      <c r="B22" s="55"/>
      <c r="C22" s="114"/>
      <c r="D22" s="115"/>
      <c r="E22" s="119"/>
      <c r="F22" s="119" t="str">
        <f t="shared" si="0"/>
        <v/>
      </c>
      <c r="G22" s="119" t="str">
        <f t="shared" si="1"/>
        <v/>
      </c>
      <c r="H22" s="17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62"/>
    </row>
    <row r="23" spans="1:20" ht="24.9" customHeight="1" x14ac:dyDescent="0.35">
      <c r="A23" s="85"/>
      <c r="B23" s="55"/>
      <c r="C23" s="114"/>
      <c r="D23" s="115"/>
      <c r="E23" s="119"/>
      <c r="F23" s="119" t="str">
        <f t="shared" si="0"/>
        <v/>
      </c>
      <c r="G23" s="119" t="str">
        <f t="shared" si="1"/>
        <v/>
      </c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9"/>
      <c r="T23" s="62"/>
    </row>
    <row r="24" spans="1:20" s="118" customFormat="1" ht="30" customHeight="1" x14ac:dyDescent="0.35">
      <c r="B24" s="113"/>
      <c r="C24" s="114"/>
      <c r="D24" s="115"/>
      <c r="E24" s="119"/>
      <c r="F24" s="119" t="str">
        <f t="shared" si="0"/>
        <v/>
      </c>
      <c r="G24" s="119" t="str">
        <f t="shared" si="1"/>
        <v/>
      </c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9"/>
      <c r="T24" s="117"/>
    </row>
    <row r="25" spans="1:20" ht="24.9" customHeight="1" x14ac:dyDescent="0.35">
      <c r="A25" s="85"/>
      <c r="B25" s="55"/>
      <c r="C25" s="114"/>
      <c r="D25" s="115"/>
      <c r="E25" s="119"/>
      <c r="F25" s="119" t="str">
        <f t="shared" si="0"/>
        <v/>
      </c>
      <c r="G25" s="119" t="str">
        <f t="shared" si="1"/>
        <v/>
      </c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9"/>
      <c r="T25" s="62"/>
    </row>
    <row r="26" spans="1:20" ht="24.9" customHeight="1" x14ac:dyDescent="0.35">
      <c r="A26" s="85"/>
      <c r="B26" s="55"/>
      <c r="C26" s="114"/>
      <c r="D26" s="115"/>
      <c r="E26" s="119"/>
      <c r="F26" s="119" t="str">
        <f t="shared" si="0"/>
        <v/>
      </c>
      <c r="G26" s="119" t="str">
        <f t="shared" si="1"/>
        <v/>
      </c>
      <c r="H26" s="17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9"/>
      <c r="T26" s="62"/>
    </row>
    <row r="27" spans="1:20" s="118" customFormat="1" ht="30" customHeight="1" x14ac:dyDescent="0.35">
      <c r="B27" s="113"/>
      <c r="C27" s="114"/>
      <c r="D27" s="115"/>
      <c r="E27" s="119"/>
      <c r="F27" s="119" t="str">
        <f t="shared" si="0"/>
        <v/>
      </c>
      <c r="G27" s="119" t="str">
        <f t="shared" si="1"/>
        <v/>
      </c>
      <c r="H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9"/>
      <c r="T27" s="117"/>
    </row>
    <row r="28" spans="1:20" ht="24.9" customHeight="1" x14ac:dyDescent="0.35">
      <c r="A28" s="85"/>
      <c r="B28" s="55"/>
      <c r="C28" s="114"/>
      <c r="D28" s="115"/>
      <c r="E28" s="119"/>
      <c r="F28" s="119" t="str">
        <f t="shared" si="0"/>
        <v/>
      </c>
      <c r="G28" s="119" t="str">
        <f t="shared" si="1"/>
        <v/>
      </c>
      <c r="H28" s="17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9"/>
      <c r="T28" s="62"/>
    </row>
    <row r="29" spans="1:20" ht="24.9" customHeight="1" x14ac:dyDescent="0.35">
      <c r="A29" s="85"/>
      <c r="B29" s="55"/>
      <c r="C29" s="114"/>
      <c r="D29" s="115"/>
      <c r="E29" s="119"/>
      <c r="F29" s="119" t="str">
        <f t="shared" si="0"/>
        <v/>
      </c>
      <c r="G29" s="119" t="str">
        <f t="shared" si="1"/>
        <v/>
      </c>
      <c r="H29" s="17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62"/>
    </row>
    <row r="30" spans="1:20" s="118" customFormat="1" ht="30" customHeight="1" x14ac:dyDescent="0.35">
      <c r="B30" s="113"/>
      <c r="C30" s="114"/>
      <c r="D30" s="115"/>
      <c r="E30" s="119"/>
      <c r="F30" s="119" t="str">
        <f t="shared" si="0"/>
        <v/>
      </c>
      <c r="G30" s="119" t="str">
        <f t="shared" si="1"/>
        <v/>
      </c>
      <c r="H30" s="17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9"/>
      <c r="T30" s="117"/>
    </row>
    <row r="31" spans="1:20" ht="24.9" customHeight="1" x14ac:dyDescent="0.35">
      <c r="B31" s="88"/>
      <c r="C31" s="114"/>
      <c r="D31" s="115"/>
      <c r="E31" s="119"/>
      <c r="F31" s="119" t="str">
        <f t="shared" si="0"/>
        <v/>
      </c>
      <c r="G31" s="119" t="str">
        <f t="shared" si="1"/>
        <v/>
      </c>
      <c r="H31" s="17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  <c r="T31" s="62"/>
    </row>
    <row r="32" spans="1:20" s="118" customFormat="1" ht="30" customHeight="1" x14ac:dyDescent="0.35">
      <c r="B32" s="113"/>
      <c r="C32" s="114"/>
      <c r="D32" s="115"/>
      <c r="E32" s="119"/>
      <c r="F32" s="119" t="str">
        <f t="shared" si="0"/>
        <v/>
      </c>
      <c r="G32" s="119" t="str">
        <f t="shared" si="1"/>
        <v/>
      </c>
      <c r="H32" s="17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9"/>
      <c r="T32" s="117"/>
    </row>
    <row r="33" spans="1:20" s="90" customFormat="1" ht="24.9" customHeight="1" x14ac:dyDescent="0.3">
      <c r="B33" s="91"/>
      <c r="C33" s="114"/>
      <c r="D33" s="115"/>
      <c r="E33" s="119"/>
      <c r="F33" s="119" t="str">
        <f t="shared" si="0"/>
        <v/>
      </c>
      <c r="G33" s="119" t="str">
        <f t="shared" si="1"/>
        <v/>
      </c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  <c r="T33" s="92"/>
    </row>
    <row r="34" spans="1:20" s="90" customFormat="1" ht="24.9" customHeight="1" x14ac:dyDescent="0.3">
      <c r="B34" s="91"/>
      <c r="C34" s="114"/>
      <c r="D34" s="115"/>
      <c r="E34" s="119"/>
      <c r="F34" s="119" t="str">
        <f t="shared" si="0"/>
        <v/>
      </c>
      <c r="G34" s="119" t="str">
        <f t="shared" si="1"/>
        <v/>
      </c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9"/>
      <c r="T34" s="92"/>
    </row>
    <row r="35" spans="1:20" s="90" customFormat="1" ht="24.9" customHeight="1" x14ac:dyDescent="0.3">
      <c r="B35" s="91"/>
      <c r="C35" s="114"/>
      <c r="D35" s="115"/>
      <c r="E35" s="119"/>
      <c r="F35" s="119" t="str">
        <f t="shared" si="0"/>
        <v/>
      </c>
      <c r="G35" s="119" t="str">
        <f t="shared" si="1"/>
        <v/>
      </c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9"/>
      <c r="T35" s="92"/>
    </row>
    <row r="36" spans="1:20" s="90" customFormat="1" ht="24.9" customHeight="1" x14ac:dyDescent="0.3">
      <c r="B36" s="91"/>
      <c r="C36" s="114"/>
      <c r="D36" s="115"/>
      <c r="E36" s="119"/>
      <c r="F36" s="119" t="str">
        <f t="shared" si="0"/>
        <v/>
      </c>
      <c r="G36" s="119" t="str">
        <f t="shared" si="1"/>
        <v/>
      </c>
      <c r="H36" s="17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9"/>
      <c r="T36" s="92"/>
    </row>
    <row r="37" spans="1:20" s="90" customFormat="1" ht="24.9" customHeight="1" x14ac:dyDescent="0.3">
      <c r="B37" s="91"/>
      <c r="C37" s="114"/>
      <c r="D37" s="115"/>
      <c r="E37" s="119"/>
      <c r="F37" s="119" t="str">
        <f t="shared" si="0"/>
        <v/>
      </c>
      <c r="G37" s="119" t="str">
        <f t="shared" si="1"/>
        <v/>
      </c>
      <c r="H37" s="17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9"/>
      <c r="T37" s="92"/>
    </row>
    <row r="38" spans="1:20" s="90" customFormat="1" ht="24.9" customHeight="1" x14ac:dyDescent="0.3">
      <c r="B38" s="91"/>
      <c r="C38" s="114"/>
      <c r="D38" s="115"/>
      <c r="E38" s="119"/>
      <c r="F38" s="119" t="str">
        <f t="shared" si="0"/>
        <v/>
      </c>
      <c r="G38" s="119" t="str">
        <f t="shared" si="1"/>
        <v/>
      </c>
      <c r="H38" s="17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9"/>
      <c r="T38" s="92"/>
    </row>
    <row r="39" spans="1:20" s="90" customFormat="1" ht="24.9" customHeight="1" x14ac:dyDescent="0.3">
      <c r="B39" s="91"/>
      <c r="C39" s="114"/>
      <c r="D39" s="115"/>
      <c r="E39" s="119"/>
      <c r="F39" s="119" t="str">
        <f t="shared" si="0"/>
        <v/>
      </c>
      <c r="G39" s="119" t="str">
        <f t="shared" si="1"/>
        <v/>
      </c>
      <c r="H39" s="17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9"/>
      <c r="T39" s="92"/>
    </row>
    <row r="40" spans="1:20" s="118" customFormat="1" ht="30" customHeight="1" x14ac:dyDescent="0.35">
      <c r="B40" s="113"/>
      <c r="C40" s="114"/>
      <c r="D40" s="115"/>
      <c r="E40" s="119"/>
      <c r="F40" s="119" t="str">
        <f t="shared" si="0"/>
        <v/>
      </c>
      <c r="G40" s="119" t="str">
        <f t="shared" si="1"/>
        <v/>
      </c>
      <c r="H40" s="17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9"/>
      <c r="T40" s="117"/>
    </row>
    <row r="41" spans="1:20" ht="24.9" customHeight="1" x14ac:dyDescent="0.35">
      <c r="A41" s="85"/>
      <c r="B41" s="55"/>
      <c r="C41" s="114"/>
      <c r="D41" s="115"/>
      <c r="E41" s="119"/>
      <c r="F41" s="119" t="str">
        <f t="shared" si="0"/>
        <v/>
      </c>
      <c r="G41" s="119" t="str">
        <f t="shared" si="1"/>
        <v/>
      </c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9"/>
      <c r="T41" s="62"/>
    </row>
    <row r="42" spans="1:20" ht="24.9" customHeight="1" x14ac:dyDescent="0.35">
      <c r="A42" s="85"/>
      <c r="B42" s="55"/>
      <c r="C42" s="114"/>
      <c r="D42" s="115"/>
      <c r="E42" s="119"/>
      <c r="F42" s="119" t="str">
        <f t="shared" si="0"/>
        <v/>
      </c>
      <c r="G42" s="119" t="str">
        <f t="shared" si="1"/>
        <v/>
      </c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9"/>
      <c r="T42" s="62"/>
    </row>
    <row r="43" spans="1:20" ht="24.9" hidden="1" customHeight="1" x14ac:dyDescent="0.35">
      <c r="A43" s="85"/>
      <c r="B43" s="55"/>
      <c r="C43" s="120" t="s">
        <v>36</v>
      </c>
      <c r="D43" s="121"/>
      <c r="E43" s="122"/>
      <c r="F43" s="123"/>
      <c r="G43" s="80">
        <f t="shared" ref="G43:G48" si="2">E43-F43</f>
        <v>0</v>
      </c>
      <c r="H43" s="124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6"/>
      <c r="T43" s="62"/>
    </row>
    <row r="44" spans="1:20" ht="24.9" hidden="1" customHeight="1" x14ac:dyDescent="0.35">
      <c r="A44" s="85"/>
      <c r="B44" s="55"/>
      <c r="C44" s="120" t="s">
        <v>54</v>
      </c>
      <c r="D44" s="121"/>
      <c r="E44" s="122"/>
      <c r="F44" s="123"/>
      <c r="G44" s="80">
        <f t="shared" si="2"/>
        <v>0</v>
      </c>
      <c r="H44" s="124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6"/>
      <c r="T44" s="62"/>
    </row>
    <row r="45" spans="1:20" ht="24.9" hidden="1" customHeight="1" x14ac:dyDescent="0.35">
      <c r="A45" s="85"/>
      <c r="B45" s="55"/>
      <c r="C45" s="120" t="s">
        <v>14</v>
      </c>
      <c r="D45" s="121"/>
      <c r="E45" s="122"/>
      <c r="F45" s="123"/>
      <c r="G45" s="80">
        <f t="shared" si="2"/>
        <v>0</v>
      </c>
      <c r="H45" s="124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6"/>
      <c r="T45" s="62"/>
    </row>
    <row r="46" spans="1:20" ht="24.9" hidden="1" customHeight="1" x14ac:dyDescent="0.35">
      <c r="A46" s="85"/>
      <c r="B46" s="55"/>
      <c r="C46" s="120" t="s">
        <v>35</v>
      </c>
      <c r="D46" s="121"/>
      <c r="E46" s="122"/>
      <c r="F46" s="123"/>
      <c r="G46" s="80">
        <f t="shared" si="2"/>
        <v>0</v>
      </c>
      <c r="H46" s="124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6"/>
      <c r="T46" s="62"/>
    </row>
    <row r="47" spans="1:20" ht="24.9" hidden="1" customHeight="1" x14ac:dyDescent="0.35">
      <c r="A47" s="85"/>
      <c r="B47" s="55"/>
      <c r="C47" s="120" t="s">
        <v>80</v>
      </c>
      <c r="D47" s="121"/>
      <c r="E47" s="122"/>
      <c r="F47" s="123"/>
      <c r="G47" s="80">
        <f t="shared" si="2"/>
        <v>0</v>
      </c>
      <c r="H47" s="124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6"/>
      <c r="T47" s="62"/>
    </row>
    <row r="48" spans="1:20" ht="24.9" hidden="1" customHeight="1" thickBot="1" x14ac:dyDescent="0.4">
      <c r="A48" s="85"/>
      <c r="B48" s="55"/>
      <c r="C48" s="127" t="s">
        <v>1</v>
      </c>
      <c r="D48" s="128"/>
      <c r="E48" s="129"/>
      <c r="F48" s="123"/>
      <c r="G48" s="80">
        <f t="shared" si="2"/>
        <v>0</v>
      </c>
      <c r="H48" s="124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6"/>
      <c r="T48" s="62"/>
    </row>
    <row r="49" spans="2:20" ht="18.75" customHeight="1" thickBot="1" x14ac:dyDescent="0.4">
      <c r="B49" s="99"/>
      <c r="C49" s="100"/>
      <c r="D49" s="101"/>
      <c r="E49" s="101"/>
      <c r="F49" s="101"/>
      <c r="G49" s="101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3"/>
    </row>
    <row r="50" spans="2:20" ht="77.25" customHeight="1" x14ac:dyDescent="0.35"/>
  </sheetData>
  <sheetProtection algorithmName="SHA-512" hashValue="dcMFcUKgwRr8MAYJ+/FWH17X4YoCNUv7eWqbsCNwsV9NBFJNd+piB4e4uWqEmgzj7Z0YF4bm6oWgkJOvZJzB1A==" saltValue="uY6yuYvgS0V33isgFxN6zw==" spinCount="100000" sheet="1" objects="1" scenarios="1" selectLockedCells="1"/>
  <mergeCells count="1">
    <mergeCell ref="D2:J2"/>
  </mergeCells>
  <conditionalFormatting sqref="G5:G42">
    <cfRule type="cellIs" dxfId="0" priority="2" operator="greaterThan">
      <formula>0</formula>
    </cfRule>
  </conditionalFormatting>
  <printOptions horizontalCentered="1" verticalCentered="1"/>
  <pageMargins left="0.25" right="0.25" top="0.25" bottom="0.25" header="0.3" footer="0.3"/>
  <pageSetup scale="40" fitToHeight="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9861-FD82-425C-9538-A1BBAE364440}">
  <sheetPr codeName="Sheet3"/>
  <dimension ref="D1:AV76"/>
  <sheetViews>
    <sheetView showGridLines="0" topLeftCell="M1" workbookViewId="0">
      <selection activeCell="P57" sqref="P57"/>
    </sheetView>
  </sheetViews>
  <sheetFormatPr defaultRowHeight="14.5" x14ac:dyDescent="0.35"/>
  <cols>
    <col min="4" max="4" width="14.6328125" bestFit="1" customWidth="1"/>
    <col min="5" max="5" width="14.6328125" customWidth="1"/>
    <col min="6" max="6" width="11.453125" customWidth="1"/>
    <col min="7" max="7" width="5.6328125" customWidth="1"/>
    <col min="8" max="11" width="11.453125" customWidth="1"/>
    <col min="12" max="12" width="13.54296875" bestFit="1" customWidth="1"/>
    <col min="13" max="13" width="16.453125" bestFit="1" customWidth="1"/>
    <col min="14" max="14" width="16.453125" customWidth="1"/>
    <col min="15" max="15" width="15.453125" bestFit="1" customWidth="1"/>
    <col min="16" max="16" width="11.08984375" bestFit="1" customWidth="1"/>
    <col min="17" max="17" width="14.36328125" bestFit="1" customWidth="1"/>
    <col min="18" max="18" width="11" customWidth="1"/>
    <col min="22" max="22" width="9.81640625" bestFit="1" customWidth="1"/>
    <col min="23" max="23" width="23.6328125" customWidth="1"/>
    <col min="24" max="24" width="20.1796875" customWidth="1"/>
    <col min="26" max="26" width="10.453125" bestFit="1" customWidth="1"/>
    <col min="27" max="27" width="15.90625" bestFit="1" customWidth="1"/>
    <col min="28" max="28" width="11.08984375" bestFit="1" customWidth="1"/>
    <col min="30" max="30" width="9.08984375" style="32"/>
    <col min="33" max="33" width="34.6328125" customWidth="1"/>
    <col min="34" max="34" width="2.90625" customWidth="1"/>
    <col min="35" max="35" width="34.6328125" customWidth="1"/>
    <col min="37" max="37" width="9.08984375" style="32"/>
    <col min="40" max="40" width="17.08984375" customWidth="1"/>
    <col min="41" max="41" width="2.90625" customWidth="1"/>
    <col min="42" max="42" width="17.08984375" customWidth="1"/>
    <col min="43" max="43" width="2.90625" customWidth="1"/>
    <col min="44" max="44" width="17.08984375" customWidth="1"/>
    <col min="45" max="45" width="2.90625" customWidth="1"/>
    <col min="46" max="46" width="17.08984375" customWidth="1"/>
    <col min="47" max="47" width="2.90625" customWidth="1"/>
    <col min="48" max="48" width="17.08984375" customWidth="1"/>
  </cols>
  <sheetData>
    <row r="1" spans="4:28" x14ac:dyDescent="0.35">
      <c r="P1" s="9"/>
      <c r="Q1" s="9"/>
    </row>
    <row r="2" spans="4:28" ht="21" x14ac:dyDescent="0.5">
      <c r="D2" s="9" t="s">
        <v>56</v>
      </c>
      <c r="K2" s="2"/>
      <c r="L2" t="s">
        <v>52</v>
      </c>
      <c r="M2" s="8" t="str">
        <f>IF(AND('Review Diversions'!I7="",'Review Diversions'!J7=""),"",('Review Diversions'!I7*0.6891/0.3109)-'Review Diversions'!J7)</f>
        <v/>
      </c>
      <c r="N2" s="8"/>
      <c r="P2" s="10"/>
      <c r="Q2" s="26"/>
      <c r="R2" s="9"/>
    </row>
    <row r="3" spans="4:28" ht="21" x14ac:dyDescent="0.5">
      <c r="D3" s="9" t="s">
        <v>57</v>
      </c>
      <c r="K3" s="2"/>
      <c r="L3" t="s">
        <v>51</v>
      </c>
      <c r="M3" s="8" t="str">
        <f>IF(AND('Review Diversions'!J7="",'Review Diversions'!I7=""),"",('Review Diversions'!J7*0.3109/0.6891)-'Review Diversions'!I7)</f>
        <v/>
      </c>
      <c r="N3" s="8"/>
      <c r="P3" s="10"/>
      <c r="Q3" s="24"/>
      <c r="R3" s="9"/>
    </row>
    <row r="4" spans="4:28" x14ac:dyDescent="0.35">
      <c r="P4" s="10"/>
      <c r="Q4" s="26"/>
      <c r="R4" s="25"/>
    </row>
    <row r="5" spans="4:28" ht="83.25" customHeight="1" x14ac:dyDescent="0.35">
      <c r="D5" s="12" t="s">
        <v>37</v>
      </c>
      <c r="E5" s="12" t="s">
        <v>50</v>
      </c>
      <c r="F5" s="12" t="s">
        <v>55</v>
      </c>
      <c r="H5" s="6" t="s">
        <v>124</v>
      </c>
      <c r="I5" s="6" t="s">
        <v>37</v>
      </c>
      <c r="J5" s="6" t="s">
        <v>0</v>
      </c>
      <c r="K5" s="6" t="s">
        <v>43</v>
      </c>
      <c r="L5" s="6" t="s">
        <v>41</v>
      </c>
      <c r="M5" s="6" t="s">
        <v>45</v>
      </c>
      <c r="N5" s="6" t="s">
        <v>42</v>
      </c>
      <c r="O5" s="6" t="s">
        <v>46</v>
      </c>
      <c r="P5" s="1" t="s">
        <v>40</v>
      </c>
      <c r="Q5" s="1" t="s">
        <v>44</v>
      </c>
      <c r="S5" s="6" t="s">
        <v>124</v>
      </c>
      <c r="T5" s="6" t="s">
        <v>37</v>
      </c>
      <c r="U5" s="6" t="s">
        <v>0</v>
      </c>
      <c r="V5" s="6" t="s">
        <v>43</v>
      </c>
      <c r="W5" s="6" t="s">
        <v>41</v>
      </c>
      <c r="X5" s="6" t="s">
        <v>45</v>
      </c>
      <c r="Y5" s="6" t="s">
        <v>42</v>
      </c>
      <c r="Z5" s="6" t="s">
        <v>46</v>
      </c>
      <c r="AA5" s="1" t="s">
        <v>40</v>
      </c>
      <c r="AB5" s="1" t="s">
        <v>44</v>
      </c>
    </row>
    <row r="6" spans="4:28" ht="16" thickBot="1" x14ac:dyDescent="0.4">
      <c r="D6" s="13">
        <v>37101</v>
      </c>
      <c r="E6" s="14" t="str">
        <f>IF(M3="","",ROUNDDOWN($M$3/47.63,0))</f>
        <v/>
      </c>
      <c r="F6" s="14" t="e">
        <f>E6*123</f>
        <v>#VALUE!</v>
      </c>
      <c r="H6" s="28">
        <v>1</v>
      </c>
      <c r="I6" s="31" t="s">
        <v>118</v>
      </c>
      <c r="J6" s="22"/>
      <c r="K6" s="5"/>
      <c r="L6" s="5"/>
      <c r="M6" s="136">
        <f>Table29[[#This Row],[DF LBS WHITE]]*Table29[[#This Row],[Cases Entered]]</f>
        <v>0</v>
      </c>
      <c r="N6" s="29"/>
      <c r="O6" s="29">
        <f>Table29[[#This Row],[Cases Entered]]*Table29[[#This Row],[DF LBS DARK]]</f>
        <v>0</v>
      </c>
      <c r="P6" s="30"/>
      <c r="Q6" s="30">
        <f>Table29[[#This Row],[DF $]]*Table29[[#This Row],[Cases Entered]]</f>
        <v>0</v>
      </c>
      <c r="S6" s="28">
        <v>1</v>
      </c>
      <c r="T6" s="31" t="s">
        <v>118</v>
      </c>
      <c r="U6" s="22"/>
      <c r="V6" s="5"/>
      <c r="W6" s="5"/>
      <c r="X6" s="29"/>
      <c r="Y6" s="29"/>
      <c r="Z6" s="29">
        <f>Table292[[#This Row],[Cases Entered]]*Table292[[#This Row],[DF LBS DARK]]</f>
        <v>0</v>
      </c>
      <c r="AA6" s="30"/>
      <c r="AB6" s="30"/>
    </row>
    <row r="7" spans="4:28" ht="15.5" x14ac:dyDescent="0.35">
      <c r="D7" s="13">
        <v>81401</v>
      </c>
      <c r="E7" s="14" t="str">
        <f>IF(M3="","",ROUNDDOWN($M$3/53.3,0))</f>
        <v/>
      </c>
      <c r="F7" s="14" t="e">
        <f>E7*232</f>
        <v>#VALUE!</v>
      </c>
      <c r="H7" s="28">
        <v>2</v>
      </c>
      <c r="I7" s="16">
        <v>13410</v>
      </c>
      <c r="J7" s="20" t="s">
        <v>93</v>
      </c>
      <c r="K7" s="5" cm="1">
        <f t="array" ref="K7">_xlfn.IFS(AND(Calculator!N13="",Calculator!O13=""),0,AND(Calculator!N13="",Calculator!O13&gt;0),SUM(Calculator!N13,Calculator!O13),AND(Calculator!O13="",Calculator!N13&gt;0),SUM(Calculator!N13,Calculator!O13),AND(Calculator!O13&gt;0,Calculator!N13&gt;0),SUM(Calculator!N13,Calculator!O13))</f>
        <v>0</v>
      </c>
      <c r="L7">
        <v>20.5</v>
      </c>
      <c r="M7" s="3">
        <f>Table29[[#This Row],[DF LBS WHITE]]*Table29[[#This Row],[Cases Entered]]</f>
        <v>0</v>
      </c>
      <c r="N7" s="3"/>
      <c r="O7" s="3">
        <f>Table29[[#This Row],[Cases Entered]]*Table29[[#This Row],[DF LBS DARK]]</f>
        <v>0</v>
      </c>
      <c r="P7" s="7">
        <v>32.19</v>
      </c>
      <c r="Q7" s="7">
        <f>Table29[[#This Row],[DF $]]*Table29[[#This Row],[Cases Entered]]</f>
        <v>0</v>
      </c>
      <c r="S7" s="28">
        <v>2</v>
      </c>
      <c r="T7" s="16">
        <v>13410</v>
      </c>
      <c r="U7" s="20" t="s">
        <v>93</v>
      </c>
      <c r="V7" s="5">
        <f>_xlfn.XLOOKUP(Table292[[#This Row],[Product Code]],Calculator!$C$13:$C$55,Calculator!$S$13:$S$55)</f>
        <v>0</v>
      </c>
      <c r="W7">
        <v>20.5</v>
      </c>
      <c r="X7" s="3">
        <f>Table292[[#This Row],[DF LBS WHITE]]*Table292[[#This Row],[Cases Entered]]</f>
        <v>0</v>
      </c>
      <c r="Y7" s="3"/>
      <c r="Z7" s="3">
        <f>Table292[[#This Row],[Cases Entered]]*Table292[[#This Row],[DF LBS DARK]]</f>
        <v>0</v>
      </c>
      <c r="AA7" s="7">
        <v>32.19</v>
      </c>
      <c r="AB7" s="7">
        <f>Table292[[#This Row],[DF $]]*Table292[[#This Row],[Cases Entered]]</f>
        <v>0</v>
      </c>
    </row>
    <row r="8" spans="4:28" ht="15.5" x14ac:dyDescent="0.35">
      <c r="D8" s="13" t="s">
        <v>48</v>
      </c>
      <c r="E8" s="14" t="str">
        <f>IF(M3="","",ROUNDDOWN($M$3/39.27,0))</f>
        <v/>
      </c>
      <c r="F8" s="14" t="e">
        <f t="shared" ref="F8:F9" si="0">E8*123</f>
        <v>#VALUE!</v>
      </c>
      <c r="H8" s="28">
        <v>3</v>
      </c>
      <c r="I8" s="16">
        <v>13424</v>
      </c>
      <c r="J8" s="21" t="s">
        <v>94</v>
      </c>
      <c r="K8" s="5" cm="1">
        <f t="array" ref="K8">_xlfn.IFS(AND(Calculator!N14="",Calculator!O14=""),0,AND(Calculator!N14="",Calculator!O14&gt;0),SUM(Calculator!N14,Calculator!O14),AND(Calculator!O14="",Calculator!N14&gt;0),SUM(Calculator!N14,Calculator!O14),AND(Calculator!O14&gt;0,Calculator!N14&gt;0),SUM(Calculator!N14,Calculator!O14))</f>
        <v>0</v>
      </c>
      <c r="L8">
        <v>20.5</v>
      </c>
      <c r="M8" s="3">
        <f>Table29[[#This Row],[DF LBS WHITE]]*Table29[[#This Row],[Cases Entered]]</f>
        <v>0</v>
      </c>
      <c r="N8" s="3"/>
      <c r="O8" s="3">
        <f>Table29[[#This Row],[Cases Entered]]*Table29[[#This Row],[DF LBS DARK]]</f>
        <v>0</v>
      </c>
      <c r="P8" s="7">
        <v>32.19</v>
      </c>
      <c r="Q8" s="7">
        <f>Table29[[#This Row],[DF $]]*Table29[[#This Row],[Cases Entered]]</f>
        <v>0</v>
      </c>
      <c r="S8" s="28">
        <v>3</v>
      </c>
      <c r="T8" s="16">
        <v>13424</v>
      </c>
      <c r="U8" s="21" t="s">
        <v>94</v>
      </c>
      <c r="V8" s="5">
        <f>_xlfn.XLOOKUP(Table292[[#This Row],[Product Code]],Calculator!$C$13:$C$55,Calculator!$S$13:$S$55)</f>
        <v>0</v>
      </c>
      <c r="W8">
        <v>20.5</v>
      </c>
      <c r="X8" s="3">
        <f>Table292[[#This Row],[DF LBS WHITE]]*Table292[[#This Row],[Cases Entered]]</f>
        <v>0</v>
      </c>
      <c r="Y8" s="3"/>
      <c r="Z8" s="3">
        <f>Table292[[#This Row],[Cases Entered]]*Table292[[#This Row],[DF LBS DARK]]</f>
        <v>0</v>
      </c>
      <c r="AA8" s="7">
        <v>32.19</v>
      </c>
      <c r="AB8" s="7">
        <f>Table292[[#This Row],[DF $]]*Table292[[#This Row],[Cases Entered]]</f>
        <v>0</v>
      </c>
    </row>
    <row r="9" spans="4:28" ht="15.5" x14ac:dyDescent="0.35">
      <c r="D9" s="13">
        <v>91402</v>
      </c>
      <c r="E9" s="14" t="str">
        <f>IF(M3="","",ROUNDDOWN($M$3/38.59,0))</f>
        <v/>
      </c>
      <c r="F9" s="14" t="e">
        <f t="shared" si="0"/>
        <v>#VALUE!</v>
      </c>
      <c r="H9" s="28">
        <v>4</v>
      </c>
      <c r="I9" s="16">
        <v>13429</v>
      </c>
      <c r="J9" s="21" t="s">
        <v>95</v>
      </c>
      <c r="K9" s="5" cm="1">
        <f t="array" ref="K9">_xlfn.IFS(AND(Calculator!N15="",Calculator!O15=""),0,AND(Calculator!N15="",Calculator!O15&gt;0),SUM(Calculator!N15,Calculator!O15),AND(Calculator!O15="",Calculator!N15&gt;0),SUM(Calculator!N15,Calculator!O15),AND(Calculator!O15&gt;0,Calculator!N15&gt;0),SUM(Calculator!N15,Calculator!O15))</f>
        <v>0</v>
      </c>
      <c r="L9">
        <v>20.5</v>
      </c>
      <c r="M9" s="3">
        <f>Table29[[#This Row],[DF LBS WHITE]]*Table29[[#This Row],[Cases Entered]]</f>
        <v>0</v>
      </c>
      <c r="N9" s="3"/>
      <c r="O9" s="3">
        <f>Table29[[#This Row],[Cases Entered]]*Table29[[#This Row],[DF LBS DARK]]</f>
        <v>0</v>
      </c>
      <c r="P9" s="7">
        <v>32.19</v>
      </c>
      <c r="Q9" s="7">
        <f>Table29[[#This Row],[DF $]]*Table29[[#This Row],[Cases Entered]]</f>
        <v>0</v>
      </c>
      <c r="S9" s="28">
        <v>4</v>
      </c>
      <c r="T9" s="16">
        <v>13429</v>
      </c>
      <c r="U9" s="21" t="s">
        <v>95</v>
      </c>
      <c r="V9" s="5">
        <f>_xlfn.XLOOKUP(Table292[[#This Row],[Product Code]],Calculator!$C$13:$C$55,Calculator!$S$13:$S$55)</f>
        <v>0</v>
      </c>
      <c r="W9">
        <v>20.5</v>
      </c>
      <c r="X9" s="3">
        <f>Table292[[#This Row],[DF LBS WHITE]]*Table292[[#This Row],[Cases Entered]]</f>
        <v>0</v>
      </c>
      <c r="Y9" s="3"/>
      <c r="Z9" s="3">
        <f>Table292[[#This Row],[Cases Entered]]*Table292[[#This Row],[DF LBS DARK]]</f>
        <v>0</v>
      </c>
      <c r="AA9" s="7">
        <v>32.19</v>
      </c>
      <c r="AB9" s="7">
        <f>Table292[[#This Row],[DF $]]*Table292[[#This Row],[Cases Entered]]</f>
        <v>0</v>
      </c>
    </row>
    <row r="10" spans="4:28" ht="15.5" x14ac:dyDescent="0.35">
      <c r="D10" s="13" t="s">
        <v>49</v>
      </c>
      <c r="E10" s="14" t="str">
        <f>IF(M3="","",ROUNDDOWN($M$3/31.8,0))</f>
        <v/>
      </c>
      <c r="F10" s="14" t="e">
        <f>E10*78</f>
        <v>#VALUE!</v>
      </c>
      <c r="H10" s="28">
        <v>5</v>
      </c>
      <c r="I10" s="16">
        <v>13440</v>
      </c>
      <c r="J10" s="21" t="s">
        <v>15</v>
      </c>
      <c r="K10" s="5" cm="1">
        <f t="array" ref="K10">_xlfn.IFS(AND(Calculator!N16="",Calculator!O16=""),0,AND(Calculator!N16="",Calculator!O16&gt;0),SUM(Calculator!N16,Calculator!O16),AND(Calculator!O16="",Calculator!N16&gt;0),SUM(Calculator!N16,Calculator!O16),AND(Calculator!O16&gt;0,Calculator!N16&gt;0),SUM(Calculator!N16,Calculator!O16))</f>
        <v>0</v>
      </c>
      <c r="L10">
        <v>20.5</v>
      </c>
      <c r="M10" s="3">
        <f>Table29[[#This Row],[DF LBS WHITE]]*Table29[[#This Row],[Cases Entered]]</f>
        <v>0</v>
      </c>
      <c r="N10" s="3"/>
      <c r="O10" s="3">
        <f>Table29[[#This Row],[Cases Entered]]*Table29[[#This Row],[DF LBS DARK]]</f>
        <v>0</v>
      </c>
      <c r="P10" s="7">
        <v>32.19</v>
      </c>
      <c r="Q10" s="7">
        <f>Table29[[#This Row],[DF $]]*Table29[[#This Row],[Cases Entered]]</f>
        <v>0</v>
      </c>
      <c r="S10" s="28">
        <v>5</v>
      </c>
      <c r="T10" s="16">
        <v>13440</v>
      </c>
      <c r="U10" s="21" t="s">
        <v>15</v>
      </c>
      <c r="V10" s="5">
        <f>_xlfn.XLOOKUP(Table292[[#This Row],[Product Code]],Calculator!$C$13:$C$55,Calculator!$S$13:$S$55)</f>
        <v>0</v>
      </c>
      <c r="W10">
        <v>20.5</v>
      </c>
      <c r="X10" s="3">
        <f>Table292[[#This Row],[DF LBS WHITE]]*Table292[[#This Row],[Cases Entered]]</f>
        <v>0</v>
      </c>
      <c r="Y10" s="3"/>
      <c r="Z10" s="3">
        <f>Table292[[#This Row],[Cases Entered]]*Table292[[#This Row],[DF LBS DARK]]</f>
        <v>0</v>
      </c>
      <c r="AA10" s="7">
        <v>32.19</v>
      </c>
      <c r="AB10" s="7">
        <f>Table292[[#This Row],[DF $]]*Table292[[#This Row],[Cases Entered]]</f>
        <v>0</v>
      </c>
    </row>
    <row r="11" spans="4:28" ht="15.5" x14ac:dyDescent="0.35">
      <c r="D11" s="10" t="s">
        <v>118</v>
      </c>
      <c r="E11" s="15" t="str">
        <f>IF(M2="","",ROUNDDOWN($M$2/20.5,0))</f>
        <v/>
      </c>
      <c r="F11" s="15" t="e">
        <f>E11*78</f>
        <v>#VALUE!</v>
      </c>
      <c r="H11" s="28">
        <v>6</v>
      </c>
      <c r="I11" s="16">
        <v>13441</v>
      </c>
      <c r="J11" s="21" t="s">
        <v>16</v>
      </c>
      <c r="K11" s="5" cm="1">
        <f t="array" ref="K11">_xlfn.IFS(AND(Calculator!N17="",Calculator!O17=""),0,AND(Calculator!N17="",Calculator!O17&gt;0),SUM(Calculator!N17,Calculator!O17),AND(Calculator!O17="",Calculator!N17&gt;0),SUM(Calculator!N17,Calculator!O17),AND(Calculator!O17&gt;0,Calculator!N17&gt;0),SUM(Calculator!N17,Calculator!O17))</f>
        <v>0</v>
      </c>
      <c r="L11">
        <v>20.5</v>
      </c>
      <c r="M11" s="3">
        <f>Table29[[#This Row],[DF LBS WHITE]]*Table29[[#This Row],[Cases Entered]]</f>
        <v>0</v>
      </c>
      <c r="N11" s="3"/>
      <c r="O11" s="3">
        <f>Table29[[#This Row],[Cases Entered]]*Table29[[#This Row],[DF LBS DARK]]</f>
        <v>0</v>
      </c>
      <c r="P11" s="7">
        <v>32.19</v>
      </c>
      <c r="Q11" s="7">
        <f>Table29[[#This Row],[DF $]]*Table29[[#This Row],[Cases Entered]]</f>
        <v>0</v>
      </c>
      <c r="S11" s="28">
        <v>6</v>
      </c>
      <c r="T11" s="16">
        <v>13441</v>
      </c>
      <c r="U11" s="21" t="s">
        <v>16</v>
      </c>
      <c r="V11" s="5">
        <f>_xlfn.XLOOKUP(Table292[[#This Row],[Product Code]],Calculator!$C$13:$C$55,Calculator!$S$13:$S$55)</f>
        <v>0</v>
      </c>
      <c r="W11">
        <v>20.5</v>
      </c>
      <c r="X11" s="3">
        <f>Table292[[#This Row],[DF LBS WHITE]]*Table292[[#This Row],[Cases Entered]]</f>
        <v>0</v>
      </c>
      <c r="Y11" s="3"/>
      <c r="Z11" s="3">
        <f>Table292[[#This Row],[Cases Entered]]*Table292[[#This Row],[DF LBS DARK]]</f>
        <v>0</v>
      </c>
      <c r="AA11" s="7">
        <v>32.19</v>
      </c>
      <c r="AB11" s="7">
        <f>Table292[[#This Row],[DF $]]*Table292[[#This Row],[Cases Entered]]</f>
        <v>0</v>
      </c>
    </row>
    <row r="12" spans="4:28" ht="15.5" x14ac:dyDescent="0.35">
      <c r="D12" s="10" t="s">
        <v>119</v>
      </c>
      <c r="E12" s="15" t="str">
        <f>IF(M2="","",ROUNDDOWN($M$2/26.28,0))</f>
        <v/>
      </c>
      <c r="F12" s="15" t="e">
        <f>E12*119</f>
        <v>#VALUE!</v>
      </c>
      <c r="H12" s="28">
        <v>7</v>
      </c>
      <c r="I12" s="16">
        <v>13443</v>
      </c>
      <c r="J12" s="21" t="s">
        <v>96</v>
      </c>
      <c r="K12" s="5" cm="1">
        <f t="array" ref="K12">_xlfn.IFS(AND(Calculator!N18="",Calculator!O18=""),0,AND(Calculator!N18="",Calculator!O18&gt;0),SUM(Calculator!N18,Calculator!O18),AND(Calculator!O18="",Calculator!N18&gt;0),SUM(Calculator!N18,Calculator!O18),AND(Calculator!O18&gt;0,Calculator!N18&gt;0),SUM(Calculator!N18,Calculator!O18))</f>
        <v>0</v>
      </c>
      <c r="L12">
        <v>20.5</v>
      </c>
      <c r="M12" s="3">
        <f>Table29[[#This Row],[DF LBS WHITE]]*Table29[[#This Row],[Cases Entered]]</f>
        <v>0</v>
      </c>
      <c r="N12" s="3"/>
      <c r="O12" s="3">
        <f>Table29[[#This Row],[Cases Entered]]*Table29[[#This Row],[DF LBS DARK]]</f>
        <v>0</v>
      </c>
      <c r="P12" s="7">
        <v>32.19</v>
      </c>
      <c r="Q12" s="7">
        <f>Table29[[#This Row],[DF $]]*Table29[[#This Row],[Cases Entered]]</f>
        <v>0</v>
      </c>
      <c r="S12" s="28">
        <v>7</v>
      </c>
      <c r="T12" s="16">
        <v>13443</v>
      </c>
      <c r="U12" s="21" t="s">
        <v>96</v>
      </c>
      <c r="V12" s="5">
        <f>_xlfn.XLOOKUP(Table292[[#This Row],[Product Code]],Calculator!$C$13:$C$55,Calculator!$S$13:$S$55)</f>
        <v>0</v>
      </c>
      <c r="W12">
        <v>20.5</v>
      </c>
      <c r="X12" s="3">
        <f>Table292[[#This Row],[DF LBS WHITE]]*Table292[[#This Row],[Cases Entered]]</f>
        <v>0</v>
      </c>
      <c r="Y12" s="3"/>
      <c r="Z12" s="3">
        <f>Table292[[#This Row],[Cases Entered]]*Table292[[#This Row],[DF LBS DARK]]</f>
        <v>0</v>
      </c>
      <c r="AA12" s="7">
        <v>32.19</v>
      </c>
      <c r="AB12" s="7">
        <f>Table292[[#This Row],[DF $]]*Table292[[#This Row],[Cases Entered]]</f>
        <v>0</v>
      </c>
    </row>
    <row r="13" spans="4:28" ht="15.5" x14ac:dyDescent="0.35">
      <c r="D13" s="9" t="s">
        <v>120</v>
      </c>
      <c r="E13" s="15" t="str">
        <f>IF(M2="","",ROUNDDOWN($M$2/17.78,0))</f>
        <v/>
      </c>
      <c r="F13" s="15" t="e">
        <f>E13*107</f>
        <v>#VALUE!</v>
      </c>
      <c r="H13" s="28">
        <v>8</v>
      </c>
      <c r="I13" s="16">
        <v>13445</v>
      </c>
      <c r="J13" s="21" t="s">
        <v>97</v>
      </c>
      <c r="K13" s="5" cm="1">
        <f t="array" ref="K13">_xlfn.IFS(AND(Calculator!N19="",Calculator!O19=""),0,AND(Calculator!N19="",Calculator!O19&gt;0),SUM(Calculator!N19,Calculator!O19),AND(Calculator!O19="",Calculator!N19&gt;0),SUM(Calculator!N19,Calculator!O19),AND(Calculator!O19&gt;0,Calculator!N19&gt;0),SUM(Calculator!N19,Calculator!O19))</f>
        <v>0</v>
      </c>
      <c r="L13">
        <v>20.5</v>
      </c>
      <c r="M13" s="3">
        <f>Table29[[#This Row],[DF LBS WHITE]]*Table29[[#This Row],[Cases Entered]]</f>
        <v>0</v>
      </c>
      <c r="N13" s="3"/>
      <c r="O13" s="3">
        <f>Table29[[#This Row],[Cases Entered]]*Table29[[#This Row],[DF LBS DARK]]</f>
        <v>0</v>
      </c>
      <c r="P13" s="7">
        <v>32.19</v>
      </c>
      <c r="Q13" s="7">
        <f>Table29[[#This Row],[DF $]]*Table29[[#This Row],[Cases Entered]]</f>
        <v>0</v>
      </c>
      <c r="S13" s="28">
        <v>8</v>
      </c>
      <c r="T13" s="16">
        <v>13445</v>
      </c>
      <c r="U13" s="21" t="s">
        <v>97</v>
      </c>
      <c r="V13" s="5">
        <f>_xlfn.XLOOKUP(Table292[[#This Row],[Product Code]],Calculator!$C$13:$C$55,Calculator!$S$13:$S$55)</f>
        <v>0</v>
      </c>
      <c r="W13">
        <v>20.5</v>
      </c>
      <c r="X13" s="3">
        <f>Table292[[#This Row],[DF LBS WHITE]]*Table292[[#This Row],[Cases Entered]]</f>
        <v>0</v>
      </c>
      <c r="Y13" s="3"/>
      <c r="Z13" s="3">
        <f>Table292[[#This Row],[Cases Entered]]*Table292[[#This Row],[DF LBS DARK]]</f>
        <v>0</v>
      </c>
      <c r="AA13" s="7">
        <v>32.19</v>
      </c>
      <c r="AB13" s="7">
        <f>Table292[[#This Row],[DF $]]*Table292[[#This Row],[Cases Entered]]</f>
        <v>0</v>
      </c>
    </row>
    <row r="14" spans="4:28" ht="15.5" x14ac:dyDescent="0.35">
      <c r="H14" s="28">
        <v>9</v>
      </c>
      <c r="I14" s="16">
        <v>23409</v>
      </c>
      <c r="J14" s="21" t="s">
        <v>98</v>
      </c>
      <c r="K14" s="5" cm="1">
        <f t="array" ref="K14">_xlfn.IFS(AND(Calculator!N20="",Calculator!O20=""),0,AND(Calculator!N20="",Calculator!O20&gt;0),SUM(Calculator!N20,Calculator!O20),AND(Calculator!O20="",Calculator!N20&gt;0),SUM(Calculator!N20,Calculator!O20),AND(Calculator!O20&gt;0,Calculator!N20&gt;0),SUM(Calculator!N20,Calculator!O20))</f>
        <v>0</v>
      </c>
      <c r="L14">
        <v>20.5</v>
      </c>
      <c r="M14" s="3">
        <f>Table29[[#This Row],[DF LBS WHITE]]*Table29[[#This Row],[Cases Entered]]</f>
        <v>0</v>
      </c>
      <c r="N14" s="3"/>
      <c r="O14" s="3">
        <f>Table29[[#This Row],[Cases Entered]]*Table29[[#This Row],[DF LBS DARK]]</f>
        <v>0</v>
      </c>
      <c r="P14" s="7">
        <v>32.19</v>
      </c>
      <c r="Q14" s="7">
        <f>Table29[[#This Row],[DF $]]*Table29[[#This Row],[Cases Entered]]</f>
        <v>0</v>
      </c>
      <c r="S14" s="28">
        <v>9</v>
      </c>
      <c r="T14" s="16">
        <v>23409</v>
      </c>
      <c r="U14" s="21" t="s">
        <v>98</v>
      </c>
      <c r="V14" s="5">
        <f>_xlfn.XLOOKUP(Table292[[#This Row],[Product Code]],Calculator!$C$13:$C$55,Calculator!$S$13:$S$55)</f>
        <v>0</v>
      </c>
      <c r="W14">
        <v>20.5</v>
      </c>
      <c r="X14" s="3">
        <f>Table292[[#This Row],[DF LBS WHITE]]*Table292[[#This Row],[Cases Entered]]</f>
        <v>0</v>
      </c>
      <c r="Y14" s="3"/>
      <c r="Z14" s="3">
        <f>Table292[[#This Row],[Cases Entered]]*Table292[[#This Row],[DF LBS DARK]]</f>
        <v>0</v>
      </c>
      <c r="AA14" s="7">
        <v>32.19</v>
      </c>
      <c r="AB14" s="7">
        <f>Table292[[#This Row],[DF $]]*Table292[[#This Row],[Cases Entered]]</f>
        <v>0</v>
      </c>
    </row>
    <row r="15" spans="4:28" ht="15.5" x14ac:dyDescent="0.35">
      <c r="H15" s="28">
        <v>10</v>
      </c>
      <c r="I15" s="16">
        <v>23415</v>
      </c>
      <c r="J15" s="21" t="s">
        <v>17</v>
      </c>
      <c r="K15" s="5" cm="1">
        <f t="array" ref="K15">_xlfn.IFS(AND(Calculator!N21="",Calculator!O21=""),0,AND(Calculator!N21="",Calculator!O21&gt;0),SUM(Calculator!N21,Calculator!O21),AND(Calculator!O21="",Calculator!N21&gt;0),SUM(Calculator!N21,Calculator!O21),AND(Calculator!O21&gt;0,Calculator!N21&gt;0),SUM(Calculator!N21,Calculator!O21))</f>
        <v>0</v>
      </c>
      <c r="L15">
        <v>20.5</v>
      </c>
      <c r="M15" s="3">
        <f>Table29[[#This Row],[DF LBS WHITE]]*Table29[[#This Row],[Cases Entered]]</f>
        <v>0</v>
      </c>
      <c r="N15" s="3"/>
      <c r="O15" s="3">
        <f>Table29[[#This Row],[Cases Entered]]*Table29[[#This Row],[DF LBS DARK]]</f>
        <v>0</v>
      </c>
      <c r="P15" s="7">
        <v>32.19</v>
      </c>
      <c r="Q15" s="7">
        <f>Table29[[#This Row],[DF $]]*Table29[[#This Row],[Cases Entered]]</f>
        <v>0</v>
      </c>
      <c r="S15" s="28">
        <v>10</v>
      </c>
      <c r="T15" s="16">
        <v>23415</v>
      </c>
      <c r="U15" s="21" t="s">
        <v>17</v>
      </c>
      <c r="V15" s="5">
        <f>_xlfn.XLOOKUP(Table292[[#This Row],[Product Code]],Calculator!$C$13:$C$55,Calculator!$S$13:$S$55)</f>
        <v>0</v>
      </c>
      <c r="W15">
        <v>20.5</v>
      </c>
      <c r="X15" s="3">
        <f>Table292[[#This Row],[DF LBS WHITE]]*Table292[[#This Row],[Cases Entered]]</f>
        <v>0</v>
      </c>
      <c r="Y15" s="3"/>
      <c r="Z15" s="3">
        <f>Table292[[#This Row],[Cases Entered]]*Table292[[#This Row],[DF LBS DARK]]</f>
        <v>0</v>
      </c>
      <c r="AA15" s="7">
        <v>32.19</v>
      </c>
      <c r="AB15" s="7">
        <f>Table292[[#This Row],[DF $]]*Table292[[#This Row],[Cases Entered]]</f>
        <v>0</v>
      </c>
    </row>
    <row r="16" spans="4:28" ht="15.5" x14ac:dyDescent="0.35">
      <c r="H16" s="28">
        <v>11</v>
      </c>
      <c r="I16" s="16">
        <v>23417</v>
      </c>
      <c r="J16" s="21" t="s">
        <v>99</v>
      </c>
      <c r="K16" s="5" cm="1">
        <f t="array" ref="K16">_xlfn.IFS(AND(Calculator!N22="",Calculator!O22=""),0,AND(Calculator!N22="",Calculator!O22&gt;0),SUM(Calculator!N22,Calculator!O22),AND(Calculator!O22="",Calculator!N22&gt;0),SUM(Calculator!N22,Calculator!O22),AND(Calculator!O22&gt;0,Calculator!N22&gt;0),SUM(Calculator!N22,Calculator!O22))</f>
        <v>0</v>
      </c>
      <c r="L16">
        <v>20.5</v>
      </c>
      <c r="M16" s="3">
        <f>Table29[[#This Row],[DF LBS WHITE]]*Table29[[#This Row],[Cases Entered]]</f>
        <v>0</v>
      </c>
      <c r="N16" s="3"/>
      <c r="O16" s="3">
        <f>Table29[[#This Row],[Cases Entered]]*Table29[[#This Row],[DF LBS DARK]]</f>
        <v>0</v>
      </c>
      <c r="P16" s="7">
        <v>32.19</v>
      </c>
      <c r="Q16" s="7">
        <f>Table29[[#This Row],[DF $]]*Table29[[#This Row],[Cases Entered]]</f>
        <v>0</v>
      </c>
      <c r="S16" s="28">
        <v>11</v>
      </c>
      <c r="T16" s="16">
        <v>23417</v>
      </c>
      <c r="U16" s="21" t="s">
        <v>99</v>
      </c>
      <c r="V16" s="5">
        <f>_xlfn.XLOOKUP(Table292[[#This Row],[Product Code]],Calculator!$C$13:$C$55,Calculator!$S$13:$S$55)</f>
        <v>0</v>
      </c>
      <c r="W16">
        <v>20.5</v>
      </c>
      <c r="X16" s="3">
        <f>Table292[[#This Row],[DF LBS WHITE]]*Table292[[#This Row],[Cases Entered]]</f>
        <v>0</v>
      </c>
      <c r="Y16" s="3"/>
      <c r="Z16" s="3">
        <f>Table292[[#This Row],[Cases Entered]]*Table292[[#This Row],[DF LBS DARK]]</f>
        <v>0</v>
      </c>
      <c r="AA16" s="7">
        <v>32.19</v>
      </c>
      <c r="AB16" s="7">
        <f>Table292[[#This Row],[DF $]]*Table292[[#This Row],[Cases Entered]]</f>
        <v>0</v>
      </c>
    </row>
    <row r="17" spans="8:28" ht="15.5" x14ac:dyDescent="0.35">
      <c r="H17" s="28">
        <v>12</v>
      </c>
      <c r="I17" s="16">
        <v>43404</v>
      </c>
      <c r="J17" s="21" t="s">
        <v>101</v>
      </c>
      <c r="K17" s="5" cm="1">
        <f t="array" ref="K17">_xlfn.IFS(AND(Calculator!N23="",Calculator!O23=""),0,AND(Calculator!N23="",Calculator!O23&gt;0),SUM(Calculator!N23,Calculator!O23),AND(Calculator!O23="",Calculator!N23&gt;0),SUM(Calculator!N23,Calculator!O23),AND(Calculator!O23&gt;0,Calculator!N23&gt;0),SUM(Calculator!N23,Calculator!O23))</f>
        <v>0</v>
      </c>
      <c r="L17">
        <v>20.5</v>
      </c>
      <c r="M17" s="3">
        <f>Table29[[#This Row],[DF LBS WHITE]]*Table29[[#This Row],[Cases Entered]]</f>
        <v>0</v>
      </c>
      <c r="N17" s="3"/>
      <c r="O17" s="3">
        <f>Table29[[#This Row],[Cases Entered]]*Table29[[#This Row],[DF LBS DARK]]</f>
        <v>0</v>
      </c>
      <c r="P17" s="7">
        <v>32.19</v>
      </c>
      <c r="Q17" s="7">
        <f>Table29[[#This Row],[DF $]]*Table29[[#This Row],[Cases Entered]]</f>
        <v>0</v>
      </c>
      <c r="S17" s="28">
        <v>12</v>
      </c>
      <c r="T17" s="16">
        <v>43404</v>
      </c>
      <c r="U17" s="21" t="s">
        <v>101</v>
      </c>
      <c r="V17" s="5">
        <f>_xlfn.XLOOKUP(Table292[[#This Row],[Product Code]],Calculator!$C$13:$C$55,Calculator!$S$13:$S$55)</f>
        <v>0</v>
      </c>
      <c r="W17">
        <v>20.5</v>
      </c>
      <c r="X17" s="3">
        <f>Table292[[#This Row],[DF LBS WHITE]]*Table292[[#This Row],[Cases Entered]]</f>
        <v>0</v>
      </c>
      <c r="Y17" s="3"/>
      <c r="Z17" s="3">
        <f>Table292[[#This Row],[Cases Entered]]*Table292[[#This Row],[DF LBS DARK]]</f>
        <v>0</v>
      </c>
      <c r="AA17" s="7">
        <v>32.19</v>
      </c>
      <c r="AB17" s="7">
        <f>Table292[[#This Row],[DF $]]*Table292[[#This Row],[Cases Entered]]</f>
        <v>0</v>
      </c>
    </row>
    <row r="18" spans="8:28" ht="15.5" x14ac:dyDescent="0.35">
      <c r="H18" s="28">
        <v>13</v>
      </c>
      <c r="I18" s="16">
        <v>43415</v>
      </c>
      <c r="J18" s="21" t="s">
        <v>102</v>
      </c>
      <c r="K18" s="5" cm="1">
        <f t="array" ref="K18">_xlfn.IFS(AND(Calculator!N24="",Calculator!O24=""),0,AND(Calculator!N24="",Calculator!O24&gt;0),SUM(Calculator!N24,Calculator!O24),AND(Calculator!O24="",Calculator!N24&gt;0),SUM(Calculator!N24,Calculator!O24),AND(Calculator!O24&gt;0,Calculator!N24&gt;0),SUM(Calculator!N24,Calculator!O24))</f>
        <v>0</v>
      </c>
      <c r="L18">
        <v>20.5</v>
      </c>
      <c r="M18" s="3">
        <f>Table29[[#This Row],[DF LBS WHITE]]*Table29[[#This Row],[Cases Entered]]</f>
        <v>0</v>
      </c>
      <c r="N18" s="3"/>
      <c r="O18" s="3">
        <f>Table29[[#This Row],[Cases Entered]]*Table29[[#This Row],[DF LBS DARK]]</f>
        <v>0</v>
      </c>
      <c r="P18" s="7">
        <v>32.19</v>
      </c>
      <c r="Q18" s="7">
        <f>Table29[[#This Row],[DF $]]*Table29[[#This Row],[Cases Entered]]</f>
        <v>0</v>
      </c>
      <c r="S18" s="28">
        <v>13</v>
      </c>
      <c r="T18" s="16">
        <v>43415</v>
      </c>
      <c r="U18" s="21" t="s">
        <v>102</v>
      </c>
      <c r="V18" s="5">
        <f>_xlfn.XLOOKUP(Table292[[#This Row],[Product Code]],Calculator!$C$13:$C$55,Calculator!$S$13:$S$55)</f>
        <v>0</v>
      </c>
      <c r="W18">
        <v>20.5</v>
      </c>
      <c r="X18" s="3">
        <f>Table292[[#This Row],[DF LBS WHITE]]*Table292[[#This Row],[Cases Entered]]</f>
        <v>0</v>
      </c>
      <c r="Y18" s="3"/>
      <c r="Z18" s="3">
        <f>Table292[[#This Row],[Cases Entered]]*Table292[[#This Row],[DF LBS DARK]]</f>
        <v>0</v>
      </c>
      <c r="AA18" s="7">
        <v>32.19</v>
      </c>
      <c r="AB18" s="7">
        <f>Table292[[#This Row],[DF $]]*Table292[[#This Row],[Cases Entered]]</f>
        <v>0</v>
      </c>
    </row>
    <row r="19" spans="8:28" ht="15.5" x14ac:dyDescent="0.35">
      <c r="H19" s="28">
        <v>14</v>
      </c>
      <c r="I19" s="16">
        <v>43424</v>
      </c>
      <c r="J19" s="21" t="s">
        <v>18</v>
      </c>
      <c r="K19" s="5" cm="1">
        <f t="array" ref="K19">_xlfn.IFS(AND(Calculator!N25="",Calculator!O25=""),0,AND(Calculator!N25="",Calculator!O25&gt;0),SUM(Calculator!N25,Calculator!O25),AND(Calculator!O25="",Calculator!N25&gt;0),SUM(Calculator!N25,Calculator!O25),AND(Calculator!O25&gt;0,Calculator!N25&gt;0),SUM(Calculator!N25,Calculator!O25))</f>
        <v>0</v>
      </c>
      <c r="L19">
        <v>20.5</v>
      </c>
      <c r="M19" s="3">
        <f>Table29[[#This Row],[DF LBS WHITE]]*Table29[[#This Row],[Cases Entered]]</f>
        <v>0</v>
      </c>
      <c r="N19" s="3"/>
      <c r="O19" s="3">
        <f>Table29[[#This Row],[Cases Entered]]*Table29[[#This Row],[DF LBS DARK]]</f>
        <v>0</v>
      </c>
      <c r="P19" s="7">
        <v>32.19</v>
      </c>
      <c r="Q19" s="7">
        <f>Table29[[#This Row],[DF $]]*Table29[[#This Row],[Cases Entered]]</f>
        <v>0</v>
      </c>
      <c r="S19" s="28">
        <v>14</v>
      </c>
      <c r="T19" s="16">
        <v>43424</v>
      </c>
      <c r="U19" s="21" t="s">
        <v>18</v>
      </c>
      <c r="V19" s="5">
        <f>_xlfn.XLOOKUP(Table292[[#This Row],[Product Code]],Calculator!$C$13:$C$55,Calculator!$S$13:$S$55)</f>
        <v>0</v>
      </c>
      <c r="W19">
        <v>20.5</v>
      </c>
      <c r="X19" s="3">
        <f>Table292[[#This Row],[DF LBS WHITE]]*Table292[[#This Row],[Cases Entered]]</f>
        <v>0</v>
      </c>
      <c r="Y19" s="3"/>
      <c r="Z19" s="3">
        <f>Table292[[#This Row],[Cases Entered]]*Table292[[#This Row],[DF LBS DARK]]</f>
        <v>0</v>
      </c>
      <c r="AA19" s="7">
        <v>32.19</v>
      </c>
      <c r="AB19" s="7">
        <f>Table292[[#This Row],[DF $]]*Table292[[#This Row],[Cases Entered]]</f>
        <v>0</v>
      </c>
    </row>
    <row r="20" spans="8:28" ht="15.5" x14ac:dyDescent="0.35">
      <c r="H20" s="28">
        <v>15</v>
      </c>
      <c r="I20" s="16">
        <v>54485</v>
      </c>
      <c r="J20" s="21" t="s">
        <v>20</v>
      </c>
      <c r="K20" s="5" cm="1">
        <f t="array" ref="K20">_xlfn.IFS(AND(Calculator!N26="",Calculator!O26=""),0,AND(Calculator!N26="",Calculator!O26&gt;0),SUM(Calculator!N26,Calculator!O26),AND(Calculator!O26="",Calculator!N26&gt;0),SUM(Calculator!N26,Calculator!O26),AND(Calculator!O26&gt;0,Calculator!N26&gt;0),SUM(Calculator!N26,Calculator!O26))</f>
        <v>0</v>
      </c>
      <c r="L20">
        <v>20.5</v>
      </c>
      <c r="M20" s="3">
        <f>Table29[[#This Row],[DF LBS WHITE]]*Table29[[#This Row],[Cases Entered]]</f>
        <v>0</v>
      </c>
      <c r="N20" s="3"/>
      <c r="O20" s="3">
        <f>Table29[[#This Row],[Cases Entered]]*Table29[[#This Row],[DF LBS DARK]]</f>
        <v>0</v>
      </c>
      <c r="P20" s="7">
        <v>32.19</v>
      </c>
      <c r="Q20" s="7">
        <f>Table29[[#This Row],[DF $]]*Table29[[#This Row],[Cases Entered]]</f>
        <v>0</v>
      </c>
      <c r="S20" s="28">
        <v>15</v>
      </c>
      <c r="T20" s="16">
        <v>54485</v>
      </c>
      <c r="U20" s="21" t="s">
        <v>20</v>
      </c>
      <c r="V20" s="5">
        <f>_xlfn.XLOOKUP(Table292[[#This Row],[Product Code]],Calculator!$C$13:$C$55,Calculator!$S$13:$S$55)</f>
        <v>0</v>
      </c>
      <c r="W20">
        <v>20.5</v>
      </c>
      <c r="X20" s="3">
        <f>Table292[[#This Row],[DF LBS WHITE]]*Table292[[#This Row],[Cases Entered]]</f>
        <v>0</v>
      </c>
      <c r="Y20" s="3"/>
      <c r="Z20" s="3">
        <f>Table292[[#This Row],[Cases Entered]]*Table292[[#This Row],[DF LBS DARK]]</f>
        <v>0</v>
      </c>
      <c r="AA20" s="7">
        <v>32.19</v>
      </c>
      <c r="AB20" s="7">
        <f>Table292[[#This Row],[DF $]]*Table292[[#This Row],[Cases Entered]]</f>
        <v>0</v>
      </c>
    </row>
    <row r="21" spans="8:28" ht="15.5" x14ac:dyDescent="0.35">
      <c r="H21" s="28">
        <v>16</v>
      </c>
      <c r="I21" s="16">
        <v>54486</v>
      </c>
      <c r="J21" s="21" t="s">
        <v>21</v>
      </c>
      <c r="K21" s="5" cm="1">
        <f t="array" ref="K21">_xlfn.IFS(AND(Calculator!N27="",Calculator!O27=""),0,AND(Calculator!N27="",Calculator!O27&gt;0),SUM(Calculator!N27,Calculator!O27),AND(Calculator!O27="",Calculator!N27&gt;0),SUM(Calculator!N27,Calculator!O27),AND(Calculator!O27&gt;0,Calculator!N27&gt;0),SUM(Calculator!N27,Calculator!O27))</f>
        <v>0</v>
      </c>
      <c r="L21">
        <v>20.5</v>
      </c>
      <c r="M21" s="3">
        <f>Table29[[#This Row],[DF LBS WHITE]]*Table29[[#This Row],[Cases Entered]]</f>
        <v>0</v>
      </c>
      <c r="N21" s="3"/>
      <c r="O21" s="3">
        <f>Table29[[#This Row],[Cases Entered]]*Table29[[#This Row],[DF LBS DARK]]</f>
        <v>0</v>
      </c>
      <c r="P21" s="7">
        <v>32.19</v>
      </c>
      <c r="Q21" s="7">
        <f>Table29[[#This Row],[DF $]]*Table29[[#This Row],[Cases Entered]]</f>
        <v>0</v>
      </c>
      <c r="S21" s="28">
        <v>16</v>
      </c>
      <c r="T21" s="16">
        <v>54486</v>
      </c>
      <c r="U21" s="21" t="s">
        <v>21</v>
      </c>
      <c r="V21" s="5">
        <f>_xlfn.XLOOKUP(Table292[[#This Row],[Product Code]],Calculator!$C$13:$C$55,Calculator!$S$13:$S$55)</f>
        <v>0</v>
      </c>
      <c r="W21">
        <v>20.5</v>
      </c>
      <c r="X21" s="3">
        <f>Table292[[#This Row],[DF LBS WHITE]]*Table292[[#This Row],[Cases Entered]]</f>
        <v>0</v>
      </c>
      <c r="Y21" s="3"/>
      <c r="Z21" s="3">
        <f>Table292[[#This Row],[Cases Entered]]*Table292[[#This Row],[DF LBS DARK]]</f>
        <v>0</v>
      </c>
      <c r="AA21" s="7">
        <v>32.19</v>
      </c>
      <c r="AB21" s="7">
        <f>Table292[[#This Row],[DF $]]*Table292[[#This Row],[Cases Entered]]</f>
        <v>0</v>
      </c>
    </row>
    <row r="22" spans="8:28" ht="15.5" x14ac:dyDescent="0.35">
      <c r="H22" s="28">
        <v>17</v>
      </c>
      <c r="I22" s="16">
        <v>54487</v>
      </c>
      <c r="J22" s="21" t="s">
        <v>22</v>
      </c>
      <c r="K22" s="5" cm="1">
        <f t="array" ref="K22">_xlfn.IFS(AND(Calculator!N28="",Calculator!O28=""),0,AND(Calculator!N28="",Calculator!O28&gt;0),SUM(Calculator!N28,Calculator!O28),AND(Calculator!O28="",Calculator!N28&gt;0),SUM(Calculator!N28,Calculator!O28),AND(Calculator!O28&gt;0,Calculator!N28&gt;0),SUM(Calculator!N28,Calculator!O28))</f>
        <v>0</v>
      </c>
      <c r="L22">
        <v>20.5</v>
      </c>
      <c r="M22" s="3">
        <f>Table29[[#This Row],[DF LBS WHITE]]*Table29[[#This Row],[Cases Entered]]</f>
        <v>0</v>
      </c>
      <c r="N22" s="3"/>
      <c r="O22" s="3">
        <f>Table29[[#This Row],[Cases Entered]]*Table29[[#This Row],[DF LBS DARK]]</f>
        <v>0</v>
      </c>
      <c r="P22" s="7">
        <v>32.19</v>
      </c>
      <c r="Q22" s="7">
        <f>Table29[[#This Row],[DF $]]*Table29[[#This Row],[Cases Entered]]</f>
        <v>0</v>
      </c>
      <c r="S22" s="28">
        <v>17</v>
      </c>
      <c r="T22" s="16">
        <v>54487</v>
      </c>
      <c r="U22" s="21" t="s">
        <v>22</v>
      </c>
      <c r="V22" s="5">
        <f>_xlfn.XLOOKUP(Table292[[#This Row],[Product Code]],Calculator!$C$13:$C$55,Calculator!$S$13:$S$55)</f>
        <v>0</v>
      </c>
      <c r="W22">
        <v>20.5</v>
      </c>
      <c r="X22" s="3">
        <f>Table292[[#This Row],[DF LBS WHITE]]*Table292[[#This Row],[Cases Entered]]</f>
        <v>0</v>
      </c>
      <c r="Y22" s="3"/>
      <c r="Z22" s="3">
        <f>Table292[[#This Row],[Cases Entered]]*Table292[[#This Row],[DF LBS DARK]]</f>
        <v>0</v>
      </c>
      <c r="AA22" s="7">
        <v>32.19</v>
      </c>
      <c r="AB22" s="7">
        <f>Table292[[#This Row],[DF $]]*Table292[[#This Row],[Cases Entered]]</f>
        <v>0</v>
      </c>
    </row>
    <row r="23" spans="8:28" ht="15.5" x14ac:dyDescent="0.35">
      <c r="H23" s="28">
        <v>18</v>
      </c>
      <c r="I23" s="16">
        <v>54496</v>
      </c>
      <c r="J23" s="21" t="s">
        <v>106</v>
      </c>
      <c r="K23" s="5" cm="1">
        <f t="array" ref="K23">_xlfn.IFS(AND(Calculator!N29="",Calculator!O29=""),0,AND(Calculator!N29="",Calculator!O29&gt;0),SUM(Calculator!N29,Calculator!O29),AND(Calculator!O29="",Calculator!N29&gt;0),SUM(Calculator!N29,Calculator!O29),AND(Calculator!O29&gt;0,Calculator!N29&gt;0),SUM(Calculator!N29,Calculator!O29))</f>
        <v>0</v>
      </c>
      <c r="L23">
        <v>20.5</v>
      </c>
      <c r="M23" s="3">
        <f>Table29[[#This Row],[DF LBS WHITE]]*Table29[[#This Row],[Cases Entered]]</f>
        <v>0</v>
      </c>
      <c r="N23" s="3"/>
      <c r="O23" s="3">
        <f>Table29[[#This Row],[Cases Entered]]*Table29[[#This Row],[DF LBS DARK]]</f>
        <v>0</v>
      </c>
      <c r="P23" s="7">
        <v>32.19</v>
      </c>
      <c r="Q23" s="7">
        <f>Table29[[#This Row],[DF $]]*Table29[[#This Row],[Cases Entered]]</f>
        <v>0</v>
      </c>
      <c r="S23" s="28">
        <v>18</v>
      </c>
      <c r="T23" s="16">
        <v>54496</v>
      </c>
      <c r="U23" s="21" t="s">
        <v>106</v>
      </c>
      <c r="V23" s="5">
        <f>_xlfn.XLOOKUP(Table292[[#This Row],[Product Code]],Calculator!$C$13:$C$55,Calculator!$S$13:$S$55)</f>
        <v>0</v>
      </c>
      <c r="W23">
        <v>20.5</v>
      </c>
      <c r="X23" s="3">
        <f>Table292[[#This Row],[DF LBS WHITE]]*Table292[[#This Row],[Cases Entered]]</f>
        <v>0</v>
      </c>
      <c r="Y23" s="3"/>
      <c r="Z23" s="3">
        <f>Table292[[#This Row],[Cases Entered]]*Table292[[#This Row],[DF LBS DARK]]</f>
        <v>0</v>
      </c>
      <c r="AA23" s="7">
        <v>32.19</v>
      </c>
      <c r="AB23" s="7">
        <f>Table292[[#This Row],[DF $]]*Table292[[#This Row],[Cases Entered]]</f>
        <v>0</v>
      </c>
    </row>
    <row r="24" spans="8:28" ht="15.5" x14ac:dyDescent="0.35">
      <c r="H24" s="28">
        <v>19</v>
      </c>
      <c r="I24" s="16">
        <v>54497</v>
      </c>
      <c r="J24" s="21" t="s">
        <v>107</v>
      </c>
      <c r="K24" s="5" cm="1">
        <f t="array" ref="K24">_xlfn.IFS(AND(Calculator!N30="",Calculator!O30=""),0,AND(Calculator!N30="",Calculator!O30&gt;0),SUM(Calculator!N30,Calculator!O30),AND(Calculator!O30="",Calculator!N30&gt;0),SUM(Calculator!N30,Calculator!O30),AND(Calculator!O30&gt;0,Calculator!N30&gt;0),SUM(Calculator!N30,Calculator!O30))</f>
        <v>0</v>
      </c>
      <c r="L24">
        <v>20.5</v>
      </c>
      <c r="M24" s="3">
        <f>Table29[[#This Row],[DF LBS WHITE]]*Table29[[#This Row],[Cases Entered]]</f>
        <v>0</v>
      </c>
      <c r="N24" s="3"/>
      <c r="O24" s="3">
        <f>Table29[[#This Row],[Cases Entered]]*Table29[[#This Row],[DF LBS DARK]]</f>
        <v>0</v>
      </c>
      <c r="P24" s="7">
        <v>32.19</v>
      </c>
      <c r="Q24" s="7">
        <f>Table29[[#This Row],[DF $]]*Table29[[#This Row],[Cases Entered]]</f>
        <v>0</v>
      </c>
      <c r="S24" s="28">
        <v>19</v>
      </c>
      <c r="T24" s="16">
        <v>54497</v>
      </c>
      <c r="U24" s="21" t="s">
        <v>107</v>
      </c>
      <c r="V24" s="5">
        <f>_xlfn.XLOOKUP(Table292[[#This Row],[Product Code]],Calculator!$C$13:$C$55,Calculator!$S$13:$S$55)</f>
        <v>0</v>
      </c>
      <c r="W24">
        <v>20.5</v>
      </c>
      <c r="X24" s="3">
        <f>Table292[[#This Row],[DF LBS WHITE]]*Table292[[#This Row],[Cases Entered]]</f>
        <v>0</v>
      </c>
      <c r="Y24" s="3"/>
      <c r="Z24" s="3">
        <f>Table292[[#This Row],[Cases Entered]]*Table292[[#This Row],[DF LBS DARK]]</f>
        <v>0</v>
      </c>
      <c r="AA24" s="7">
        <v>32.19</v>
      </c>
      <c r="AB24" s="7">
        <f>Table292[[#This Row],[DF $]]*Table292[[#This Row],[Cases Entered]]</f>
        <v>0</v>
      </c>
    </row>
    <row r="25" spans="8:28" ht="15.5" x14ac:dyDescent="0.35">
      <c r="H25" s="28">
        <v>20</v>
      </c>
      <c r="I25" s="16" t="s">
        <v>119</v>
      </c>
      <c r="J25" s="21"/>
      <c r="K25" s="5" cm="1">
        <f t="array" ref="K25">_xlfn.IFS(AND(Calculator!N31="",Calculator!O31=""),0,AND(Calculator!N31="",Calculator!O31&gt;0),SUM(Calculator!N31,Calculator!O31),AND(Calculator!O31="",Calculator!N31&gt;0),SUM(Calculator!N31,Calculator!O31),AND(Calculator!O31&gt;0,Calculator!N31&gt;0),SUM(Calculator!N31,Calculator!O31))</f>
        <v>0</v>
      </c>
      <c r="L25" s="5"/>
      <c r="M25" s="3">
        <f>Table29[[#This Row],[DF LBS WHITE]]*Table29[[#This Row],[Cases Entered]]</f>
        <v>0</v>
      </c>
      <c r="N25" s="3"/>
      <c r="O25" s="3">
        <f>Table29[[#This Row],[Cases Entered]]*Table29[[#This Row],[DF LBS DARK]]</f>
        <v>0</v>
      </c>
      <c r="P25" s="7"/>
      <c r="Q25" s="7">
        <f>Table29[[#This Row],[DF $]]*Table29[[#This Row],[Cases Entered]]</f>
        <v>0</v>
      </c>
      <c r="S25" s="28">
        <v>20</v>
      </c>
      <c r="T25" s="16" t="s">
        <v>119</v>
      </c>
      <c r="U25" s="21"/>
      <c r="V25" s="5"/>
      <c r="W25" s="5"/>
      <c r="X25" s="3"/>
      <c r="Y25" s="3"/>
      <c r="Z25" s="3">
        <f>Table292[[#This Row],[Cases Entered]]*Table292[[#This Row],[DF LBS DARK]]</f>
        <v>0</v>
      </c>
      <c r="AA25" s="7"/>
      <c r="AB25" s="7"/>
    </row>
    <row r="26" spans="8:28" ht="15.5" x14ac:dyDescent="0.35">
      <c r="H26" s="28">
        <v>21</v>
      </c>
      <c r="I26" s="16">
        <v>56404</v>
      </c>
      <c r="J26" s="21" t="s">
        <v>19</v>
      </c>
      <c r="K26" s="5" cm="1">
        <f t="array" ref="K26">_xlfn.IFS(AND(Calculator!N32="",Calculator!O32=""),0,AND(Calculator!N32="",Calculator!O32&gt;0),SUM(Calculator!N32,Calculator!O32),AND(Calculator!O32="",Calculator!N32&gt;0),SUM(Calculator!N32,Calculator!O32),AND(Calculator!O32&gt;0,Calculator!N32&gt;0),SUM(Calculator!N32,Calculator!O32))</f>
        <v>0</v>
      </c>
      <c r="L26">
        <v>26.28</v>
      </c>
      <c r="M26" s="3">
        <f>Table29[[#This Row],[DF LBS WHITE]]*Table29[[#This Row],[Cases Entered]]</f>
        <v>0</v>
      </c>
      <c r="N26" s="3"/>
      <c r="O26" s="3">
        <f>Table29[[#This Row],[Cases Entered]]*Table29[[#This Row],[DF LBS DARK]]</f>
        <v>0</v>
      </c>
      <c r="P26" s="7">
        <v>41.26</v>
      </c>
      <c r="Q26" s="7">
        <f>Table29[[#This Row],[DF $]]*Table29[[#This Row],[Cases Entered]]</f>
        <v>0</v>
      </c>
      <c r="S26" s="28">
        <v>21</v>
      </c>
      <c r="T26" s="16">
        <v>56404</v>
      </c>
      <c r="U26" s="21" t="s">
        <v>19</v>
      </c>
      <c r="V26" s="5">
        <f>_xlfn.XLOOKUP(Table292[[#This Row],[Product Code]],Calculator!$C$13:$C$55,Calculator!$S$13:$S$55)</f>
        <v>0</v>
      </c>
      <c r="W26">
        <v>26.28</v>
      </c>
      <c r="X26" s="3">
        <f>Table292[[#This Row],[DF LBS WHITE]]*Table292[[#This Row],[Cases Entered]]</f>
        <v>0</v>
      </c>
      <c r="Y26" s="3"/>
      <c r="Z26" s="3">
        <f>Table292[[#This Row],[Cases Entered]]*Table292[[#This Row],[DF LBS DARK]]</f>
        <v>0</v>
      </c>
      <c r="AA26" s="7">
        <v>41.26</v>
      </c>
      <c r="AB26" s="7">
        <f>Table292[[#This Row],[DF $]]*Table292[[#This Row],[Cases Entered]]</f>
        <v>0</v>
      </c>
    </row>
    <row r="27" spans="8:28" ht="15.5" x14ac:dyDescent="0.35">
      <c r="H27" s="28">
        <v>22</v>
      </c>
      <c r="I27" s="16">
        <v>56405</v>
      </c>
      <c r="J27" s="21" t="s">
        <v>33</v>
      </c>
      <c r="K27" s="5" cm="1">
        <f t="array" ref="K27">_xlfn.IFS(AND(Calculator!N33="",Calculator!O33=""),0,AND(Calculator!N33="",Calculator!O33&gt;0),SUM(Calculator!N33,Calculator!O33),AND(Calculator!O33="",Calculator!N33&gt;0),SUM(Calculator!N33,Calculator!O33),AND(Calculator!O33&gt;0,Calculator!N33&gt;0),SUM(Calculator!N33,Calculator!O33))</f>
        <v>0</v>
      </c>
      <c r="L27">
        <v>26.28</v>
      </c>
      <c r="M27" s="3">
        <f>Table29[[#This Row],[DF LBS WHITE]]*Table29[[#This Row],[Cases Entered]]</f>
        <v>0</v>
      </c>
      <c r="N27" s="3"/>
      <c r="O27" s="3">
        <f>Table29[[#This Row],[Cases Entered]]*Table29[[#This Row],[DF LBS DARK]]</f>
        <v>0</v>
      </c>
      <c r="P27" s="7">
        <v>41.26</v>
      </c>
      <c r="Q27" s="7">
        <f>Table29[[#This Row],[DF $]]*Table29[[#This Row],[Cases Entered]]</f>
        <v>0</v>
      </c>
      <c r="S27" s="28">
        <v>22</v>
      </c>
      <c r="T27" s="16">
        <v>56405</v>
      </c>
      <c r="U27" s="21" t="s">
        <v>33</v>
      </c>
      <c r="V27" s="5">
        <f>_xlfn.XLOOKUP(Table292[[#This Row],[Product Code]],Calculator!$C$13:$C$55,Calculator!$S$13:$S$55)</f>
        <v>0</v>
      </c>
      <c r="W27">
        <v>26.28</v>
      </c>
      <c r="X27" s="3">
        <f>Table292[[#This Row],[DF LBS WHITE]]*Table292[[#This Row],[Cases Entered]]</f>
        <v>0</v>
      </c>
      <c r="Y27" s="3"/>
      <c r="Z27" s="3">
        <f>Table292[[#This Row],[Cases Entered]]*Table292[[#This Row],[DF LBS DARK]]</f>
        <v>0</v>
      </c>
      <c r="AA27" s="7">
        <v>41.26</v>
      </c>
      <c r="AB27" s="7">
        <f>Table292[[#This Row],[DF $]]*Table292[[#This Row],[Cases Entered]]</f>
        <v>0</v>
      </c>
    </row>
    <row r="28" spans="8:28" ht="15.5" x14ac:dyDescent="0.35">
      <c r="H28" s="28">
        <v>23</v>
      </c>
      <c r="I28" s="16" t="s">
        <v>120</v>
      </c>
      <c r="J28" s="21"/>
      <c r="K28" s="5" cm="1">
        <f t="array" ref="K28">_xlfn.IFS(AND(Calculator!N34="",Calculator!O34=""),0,AND(Calculator!N34="",Calculator!O34&gt;0),SUM(Calculator!N34,Calculator!O34),AND(Calculator!O34="",Calculator!N34&gt;0),SUM(Calculator!N34,Calculator!O34),AND(Calculator!O34&gt;0,Calculator!N34&gt;0),SUM(Calculator!N34,Calculator!O34))</f>
        <v>0</v>
      </c>
      <c r="L28" s="5"/>
      <c r="M28" s="3">
        <f>Table29[[#This Row],[DF LBS WHITE]]*Table29[[#This Row],[Cases Entered]]</f>
        <v>0</v>
      </c>
      <c r="N28" s="3"/>
      <c r="O28" s="3">
        <f>Table29[[#This Row],[Cases Entered]]*Table29[[#This Row],[DF LBS DARK]]</f>
        <v>0</v>
      </c>
      <c r="P28" s="7"/>
      <c r="Q28" s="7">
        <f>Table29[[#This Row],[DF $]]*Table29[[#This Row],[Cases Entered]]</f>
        <v>0</v>
      </c>
      <c r="S28" s="28">
        <v>23</v>
      </c>
      <c r="T28" s="16" t="s">
        <v>120</v>
      </c>
      <c r="U28" s="21"/>
      <c r="V28" s="5"/>
      <c r="W28" s="5"/>
      <c r="X28" s="3"/>
      <c r="Y28" s="3"/>
      <c r="Z28" s="3">
        <f>Table292[[#This Row],[Cases Entered]]*Table292[[#This Row],[DF LBS DARK]]</f>
        <v>0</v>
      </c>
      <c r="AA28" s="7"/>
      <c r="AB28" s="7"/>
    </row>
    <row r="29" spans="8:28" ht="15.5" x14ac:dyDescent="0.35">
      <c r="H29" s="28">
        <v>24</v>
      </c>
      <c r="I29" s="16">
        <v>54440</v>
      </c>
      <c r="J29" s="22" t="s">
        <v>104</v>
      </c>
      <c r="K29" s="5" cm="1">
        <f t="array" ref="K29">_xlfn.IFS(AND(Calculator!N35="",Calculator!O35=""),0,AND(Calculator!N35="",Calculator!O35&gt;0),SUM(Calculator!N35,Calculator!O35),AND(Calculator!O35="",Calculator!N35&gt;0),SUM(Calculator!N35,Calculator!O35),AND(Calculator!O35&gt;0,Calculator!N35&gt;0),SUM(Calculator!N35,Calculator!O35))</f>
        <v>0</v>
      </c>
      <c r="L29">
        <v>17.78</v>
      </c>
      <c r="M29" s="3">
        <f>Table29[[#This Row],[DF LBS WHITE]]*Table29[[#This Row],[Cases Entered]]</f>
        <v>0</v>
      </c>
      <c r="N29" s="3"/>
      <c r="O29" s="3">
        <f>Table29[[#This Row],[Cases Entered]]*Table29[[#This Row],[DF LBS DARK]]</f>
        <v>0</v>
      </c>
      <c r="P29" s="7">
        <v>27.91</v>
      </c>
      <c r="Q29" s="7">
        <f>Table29[[#This Row],[DF $]]*Table29[[#This Row],[Cases Entered]]</f>
        <v>0</v>
      </c>
      <c r="S29" s="28">
        <v>24</v>
      </c>
      <c r="T29" s="16">
        <v>54440</v>
      </c>
      <c r="U29" s="22" t="s">
        <v>104</v>
      </c>
      <c r="V29" s="5">
        <f>_xlfn.XLOOKUP(Table292[[#This Row],[Product Code]],Calculator!$C$13:$C$55,Calculator!$S$13:$S$55)</f>
        <v>0</v>
      </c>
      <c r="W29">
        <v>17.78</v>
      </c>
      <c r="X29" s="3">
        <f>Table292[[#This Row],[DF LBS WHITE]]*Table292[[#This Row],[Cases Entered]]</f>
        <v>0</v>
      </c>
      <c r="Y29" s="3"/>
      <c r="Z29" s="3">
        <f>Table292[[#This Row],[Cases Entered]]*Table292[[#This Row],[DF LBS DARK]]</f>
        <v>0</v>
      </c>
      <c r="AA29" s="7">
        <v>27.91</v>
      </c>
      <c r="AB29" s="7">
        <f>Table292[[#This Row],[DF $]]*Table292[[#This Row],[Cases Entered]]</f>
        <v>0</v>
      </c>
    </row>
    <row r="30" spans="8:28" ht="15.5" x14ac:dyDescent="0.35">
      <c r="H30" s="28">
        <v>25</v>
      </c>
      <c r="I30" s="16">
        <v>54454</v>
      </c>
      <c r="J30" s="22" t="s">
        <v>105</v>
      </c>
      <c r="K30" s="5" cm="1">
        <f t="array" ref="K30">_xlfn.IFS(AND(Calculator!N36="",Calculator!O36=""),0,AND(Calculator!N36="",Calculator!O36&gt;0),SUM(Calculator!N36,Calculator!O36),AND(Calculator!O36="",Calculator!N36&gt;0),SUM(Calculator!N36,Calculator!O36),AND(Calculator!O36&gt;0,Calculator!N36&gt;0),SUM(Calculator!N36,Calculator!O36))</f>
        <v>0</v>
      </c>
      <c r="L30">
        <v>17.78</v>
      </c>
      <c r="M30" s="3">
        <f>Table29[[#This Row],[DF LBS WHITE]]*Table29[[#This Row],[Cases Entered]]</f>
        <v>0</v>
      </c>
      <c r="N30" s="3"/>
      <c r="O30" s="3">
        <f>Table29[[#This Row],[Cases Entered]]*Table29[[#This Row],[DF LBS DARK]]</f>
        <v>0</v>
      </c>
      <c r="P30" s="7">
        <v>27.91</v>
      </c>
      <c r="Q30" s="7">
        <f>Table29[[#This Row],[DF $]]*Table29[[#This Row],[Cases Entered]]</f>
        <v>0</v>
      </c>
      <c r="S30" s="28">
        <v>25</v>
      </c>
      <c r="T30" s="16">
        <v>54454</v>
      </c>
      <c r="U30" s="22" t="s">
        <v>105</v>
      </c>
      <c r="V30" s="5">
        <f>_xlfn.XLOOKUP(Table292[[#This Row],[Product Code]],Calculator!$C$13:$C$55,Calculator!$S$13:$S$55)</f>
        <v>0</v>
      </c>
      <c r="W30">
        <v>17.78</v>
      </c>
      <c r="X30" s="3">
        <f>Table292[[#This Row],[DF LBS WHITE]]*Table292[[#This Row],[Cases Entered]]</f>
        <v>0</v>
      </c>
      <c r="Y30" s="3"/>
      <c r="Z30" s="3">
        <f>Table292[[#This Row],[Cases Entered]]*Table292[[#This Row],[DF LBS DARK]]</f>
        <v>0</v>
      </c>
      <c r="AA30" s="7">
        <v>27.91</v>
      </c>
      <c r="AB30" s="7">
        <f>Table292[[#This Row],[DF $]]*Table292[[#This Row],[Cases Entered]]</f>
        <v>0</v>
      </c>
    </row>
    <row r="31" spans="8:28" ht="15.5" x14ac:dyDescent="0.35">
      <c r="H31" s="28">
        <v>26</v>
      </c>
      <c r="I31" s="16" t="s">
        <v>122</v>
      </c>
      <c r="J31" s="22"/>
      <c r="K31" s="5" cm="1">
        <f t="array" ref="K31">_xlfn.IFS(AND(Calculator!N37="",Calculator!O37=""),0,AND(Calculator!N37="",Calculator!O37&gt;0),SUM(Calculator!N37,Calculator!O37),AND(Calculator!O37="",Calculator!N37&gt;0),SUM(Calculator!N37,Calculator!O37),AND(Calculator!O37&gt;0,Calculator!N37&gt;0),SUM(Calculator!N37,Calculator!O37))</f>
        <v>0</v>
      </c>
      <c r="L31" s="5"/>
      <c r="M31" s="3">
        <f>Table29[[#This Row],[DF LBS WHITE]]*Table29[[#This Row],[Cases Entered]]</f>
        <v>0</v>
      </c>
      <c r="N31" s="3"/>
      <c r="O31" s="3">
        <f>Table29[[#This Row],[Cases Entered]]*Table29[[#This Row],[DF LBS DARK]]</f>
        <v>0</v>
      </c>
      <c r="P31" s="7"/>
      <c r="Q31" s="7">
        <f>Table29[[#This Row],[DF $]]*Table29[[#This Row],[Cases Entered]]</f>
        <v>0</v>
      </c>
      <c r="S31" s="28">
        <v>26</v>
      </c>
      <c r="T31" s="16" t="s">
        <v>122</v>
      </c>
      <c r="U31" s="22"/>
      <c r="V31" s="5"/>
      <c r="W31" s="5"/>
      <c r="X31" s="3"/>
      <c r="Y31" s="3"/>
      <c r="Z31" s="3">
        <f>Table292[[#This Row],[Cases Entered]]*Table292[[#This Row],[DF LBS DARK]]</f>
        <v>0</v>
      </c>
      <c r="AA31" s="7"/>
      <c r="AB31" s="7"/>
    </row>
    <row r="32" spans="8:28" ht="15.5" x14ac:dyDescent="0.35">
      <c r="H32" s="28">
        <v>27</v>
      </c>
      <c r="I32" s="16">
        <v>37101</v>
      </c>
      <c r="J32" s="22" t="s">
        <v>100</v>
      </c>
      <c r="K32" s="5" cm="1">
        <f t="array" ref="K32">_xlfn.IFS(AND(Calculator!N38="",Calculator!O38=""),0,AND(Calculator!N38="",Calculator!O38&gt;0),SUM(Calculator!N38,Calculator!O38),AND(Calculator!O38="",Calculator!N38&gt;0),SUM(Calculator!N38,Calculator!O38),AND(Calculator!O38&gt;0,Calculator!N38&gt;0),SUM(Calculator!N38,Calculator!O38))</f>
        <v>0</v>
      </c>
      <c r="M32" s="3">
        <f>Table29[[#This Row],[DF LBS WHITE]]*Table29[[#This Row],[Cases Entered]]</f>
        <v>0</v>
      </c>
      <c r="N32" s="3">
        <v>47.63</v>
      </c>
      <c r="O32" s="3">
        <f>Table29[[#This Row],[Cases Entered]]*Table29[[#This Row],[DF LBS DARK]]</f>
        <v>0</v>
      </c>
      <c r="P32" s="7">
        <v>74.78</v>
      </c>
      <c r="Q32" s="7">
        <f>Table29[[#This Row],[DF $]]*Table29[[#This Row],[Cases Entered]]</f>
        <v>0</v>
      </c>
      <c r="S32" s="28">
        <v>27</v>
      </c>
      <c r="T32" s="16">
        <v>37101</v>
      </c>
      <c r="U32" s="22" t="s">
        <v>100</v>
      </c>
      <c r="V32" s="5">
        <f>_xlfn.XLOOKUP(Table292[[#This Row],[Product Code]],Calculator!$C$13:$C$55,Calculator!$S$13:$S$55)</f>
        <v>0</v>
      </c>
      <c r="X32" s="3">
        <f>Table292[[#This Row],[DF LBS WHITE]]*Table292[[#This Row],[Cases Entered]]</f>
        <v>0</v>
      </c>
      <c r="Y32" s="3">
        <v>47.63</v>
      </c>
      <c r="Z32" s="3">
        <f>Table292[[#This Row],[Cases Entered]]*Table292[[#This Row],[DF LBS DARK]]</f>
        <v>0</v>
      </c>
      <c r="AA32" s="7">
        <v>74.78</v>
      </c>
      <c r="AB32" s="7">
        <f>Table292[[#This Row],[DF $]]*Table292[[#This Row],[Cases Entered]]</f>
        <v>0</v>
      </c>
    </row>
    <row r="33" spans="8:28" ht="15.5" x14ac:dyDescent="0.35">
      <c r="H33" s="28">
        <v>28</v>
      </c>
      <c r="I33" s="16">
        <v>81401</v>
      </c>
      <c r="J33" s="22" t="s">
        <v>23</v>
      </c>
      <c r="K33" s="5" cm="1">
        <f t="array" ref="K33">_xlfn.IFS(AND(Calculator!N39="",Calculator!O39=""),0,AND(Calculator!N39="",Calculator!O39&gt;0),SUM(Calculator!N39,Calculator!O39),AND(Calculator!O39="",Calculator!N39&gt;0),SUM(Calculator!N39,Calculator!O39),AND(Calculator!O39&gt;0,Calculator!N39&gt;0),SUM(Calculator!N39,Calculator!O39))</f>
        <v>0</v>
      </c>
      <c r="M33" s="3">
        <f>Table29[[#This Row],[DF LBS WHITE]]*Table29[[#This Row],[Cases Entered]]</f>
        <v>0</v>
      </c>
      <c r="N33" s="3">
        <v>53.3</v>
      </c>
      <c r="O33" s="3">
        <f>Table29[[#This Row],[Cases Entered]]*Table29[[#This Row],[DF LBS DARK]]</f>
        <v>0</v>
      </c>
      <c r="P33" s="7">
        <v>83.68</v>
      </c>
      <c r="Q33" s="7">
        <f>Table29[[#This Row],[DF $]]*Table29[[#This Row],[Cases Entered]]</f>
        <v>0</v>
      </c>
      <c r="S33" s="28">
        <v>28</v>
      </c>
      <c r="T33" s="16">
        <v>81401</v>
      </c>
      <c r="U33" s="22" t="s">
        <v>23</v>
      </c>
      <c r="V33" s="5">
        <f>_xlfn.XLOOKUP(Table292[[#This Row],[Product Code]],Calculator!$C$13:$C$55,Calculator!$S$13:$S$55)</f>
        <v>0</v>
      </c>
      <c r="X33" s="3">
        <f>Table292[[#This Row],[DF LBS WHITE]]*Table292[[#This Row],[Cases Entered]]</f>
        <v>0</v>
      </c>
      <c r="Y33" s="3">
        <v>53.3</v>
      </c>
      <c r="Z33" s="3">
        <f>Table292[[#This Row],[Cases Entered]]*Table292[[#This Row],[DF LBS DARK]]</f>
        <v>0</v>
      </c>
      <c r="AA33" s="7">
        <v>83.68</v>
      </c>
      <c r="AB33" s="7">
        <f>Table292[[#This Row],[DF $]]*Table292[[#This Row],[Cases Entered]]</f>
        <v>0</v>
      </c>
    </row>
    <row r="34" spans="8:28" ht="15.5" x14ac:dyDescent="0.35">
      <c r="H34" s="28">
        <v>29</v>
      </c>
      <c r="I34" s="16">
        <v>91401</v>
      </c>
      <c r="J34" s="22" t="s">
        <v>25</v>
      </c>
      <c r="K34" s="5" cm="1">
        <f t="array" ref="K34">_xlfn.IFS(AND(Calculator!N40="",Calculator!O40=""),0,AND(Calculator!N40="",Calculator!O40&gt;0),SUM(Calculator!N40,Calculator!O40),AND(Calculator!O40="",Calculator!N40&gt;0),SUM(Calculator!N40,Calculator!O40),AND(Calculator!O40&gt;0,Calculator!N40&gt;0),SUM(Calculator!N40,Calculator!O40))</f>
        <v>0</v>
      </c>
      <c r="M34" s="3">
        <f>Table29[[#This Row],[DF LBS WHITE]]*Table29[[#This Row],[Cases Entered]]</f>
        <v>0</v>
      </c>
      <c r="N34" s="3">
        <v>39.270000000000003</v>
      </c>
      <c r="O34" s="3">
        <f>Table29[[#This Row],[Cases Entered]]*Table29[[#This Row],[DF LBS DARK]]</f>
        <v>0</v>
      </c>
      <c r="P34" s="7">
        <v>61.65</v>
      </c>
      <c r="Q34" s="7">
        <f>Table29[[#This Row],[DF $]]*Table29[[#This Row],[Cases Entered]]</f>
        <v>0</v>
      </c>
      <c r="S34" s="28">
        <v>29</v>
      </c>
      <c r="T34" s="16">
        <v>91401</v>
      </c>
      <c r="U34" s="22" t="s">
        <v>25</v>
      </c>
      <c r="V34" s="5">
        <f>_xlfn.XLOOKUP(Table292[[#This Row],[Product Code]],Calculator!$C$13:$C$55,Calculator!$S$13:$S$55)</f>
        <v>0</v>
      </c>
      <c r="X34" s="3">
        <f>Table292[[#This Row],[DF LBS WHITE]]*Table292[[#This Row],[Cases Entered]]</f>
        <v>0</v>
      </c>
      <c r="Y34" s="3">
        <v>39.270000000000003</v>
      </c>
      <c r="Z34" s="3">
        <f>Table292[[#This Row],[Cases Entered]]*Table292[[#This Row],[DF LBS DARK]]</f>
        <v>0</v>
      </c>
      <c r="AA34" s="7">
        <v>61.65</v>
      </c>
      <c r="AB34" s="7">
        <f>Table292[[#This Row],[DF $]]*Table292[[#This Row],[Cases Entered]]</f>
        <v>0</v>
      </c>
    </row>
    <row r="35" spans="8:28" ht="15.5" x14ac:dyDescent="0.35">
      <c r="H35" s="28">
        <v>30</v>
      </c>
      <c r="I35" s="16">
        <v>91402</v>
      </c>
      <c r="J35" s="22" t="s">
        <v>26</v>
      </c>
      <c r="K35" s="5" cm="1">
        <f t="array" ref="K35">_xlfn.IFS(AND(Calculator!N41="",Calculator!O41=""),0,AND(Calculator!N41="",Calculator!O41&gt;0),SUM(Calculator!N41,Calculator!O41),AND(Calculator!O41="",Calculator!N41&gt;0),SUM(Calculator!N41,Calculator!O41),AND(Calculator!O41&gt;0,Calculator!N41&gt;0),SUM(Calculator!N41,Calculator!O41))</f>
        <v>0</v>
      </c>
      <c r="M35" s="3">
        <f>Table29[[#This Row],[DF LBS WHITE]]*Table29[[#This Row],[Cases Entered]]</f>
        <v>0</v>
      </c>
      <c r="N35" s="3">
        <v>38.590000000000003</v>
      </c>
      <c r="O35" s="3">
        <f>Table29[[#This Row],[Cases Entered]]*Table29[[#This Row],[DF LBS DARK]]</f>
        <v>0</v>
      </c>
      <c r="P35" s="7">
        <v>60.59</v>
      </c>
      <c r="Q35" s="7">
        <f>Table29[[#This Row],[DF $]]*Table29[[#This Row],[Cases Entered]]</f>
        <v>0</v>
      </c>
      <c r="S35" s="28">
        <v>30</v>
      </c>
      <c r="T35" s="16">
        <v>91402</v>
      </c>
      <c r="U35" s="22" t="s">
        <v>26</v>
      </c>
      <c r="V35" s="5">
        <f>_xlfn.XLOOKUP(Table292[[#This Row],[Product Code]],Calculator!$C$13:$C$55,Calculator!$S$13:$S$55)</f>
        <v>0</v>
      </c>
      <c r="X35" s="3">
        <f>Table292[[#This Row],[DF LBS WHITE]]*Table292[[#This Row],[Cases Entered]]</f>
        <v>0</v>
      </c>
      <c r="Y35" s="3">
        <v>38.590000000000003</v>
      </c>
      <c r="Z35" s="3">
        <f>Table292[[#This Row],[Cases Entered]]*Table292[[#This Row],[DF LBS DARK]]</f>
        <v>0</v>
      </c>
      <c r="AA35" s="7">
        <v>60.59</v>
      </c>
      <c r="AB35" s="7">
        <f>Table292[[#This Row],[DF $]]*Table292[[#This Row],[Cases Entered]]</f>
        <v>0</v>
      </c>
    </row>
    <row r="36" spans="8:28" ht="15.5" x14ac:dyDescent="0.35">
      <c r="H36" s="28">
        <v>31</v>
      </c>
      <c r="I36" s="16">
        <v>91409</v>
      </c>
      <c r="J36" s="22" t="s">
        <v>27</v>
      </c>
      <c r="K36" s="5" cm="1">
        <f t="array" ref="K36">_xlfn.IFS(AND(Calculator!N42="",Calculator!O42=""),0,AND(Calculator!N42="",Calculator!O42&gt;0),SUM(Calculator!N42,Calculator!O42),AND(Calculator!O42="",Calculator!N42&gt;0),SUM(Calculator!N42,Calculator!O42),AND(Calculator!O42&gt;0,Calculator!N42&gt;0),SUM(Calculator!N42,Calculator!O42))</f>
        <v>0</v>
      </c>
      <c r="M36" s="3">
        <f>Table29[[#This Row],[DF LBS WHITE]]*Table29[[#This Row],[Cases Entered]]</f>
        <v>0</v>
      </c>
      <c r="N36" s="3">
        <v>39.270000000000003</v>
      </c>
      <c r="O36" s="3">
        <f>Table29[[#This Row],[Cases Entered]]*Table29[[#This Row],[DF LBS DARK]]</f>
        <v>0</v>
      </c>
      <c r="P36" s="7">
        <v>61.65</v>
      </c>
      <c r="Q36" s="7">
        <f>Table29[[#This Row],[DF $]]*Table29[[#This Row],[Cases Entered]]</f>
        <v>0</v>
      </c>
      <c r="S36" s="28">
        <v>31</v>
      </c>
      <c r="T36" s="16">
        <v>91409</v>
      </c>
      <c r="U36" s="22" t="s">
        <v>27</v>
      </c>
      <c r="V36" s="5">
        <f>_xlfn.XLOOKUP(Table292[[#This Row],[Product Code]],Calculator!$C$13:$C$55,Calculator!$S$13:$S$55)</f>
        <v>0</v>
      </c>
      <c r="X36" s="3">
        <f>Table292[[#This Row],[DF LBS WHITE]]*Table292[[#This Row],[Cases Entered]]</f>
        <v>0</v>
      </c>
      <c r="Y36" s="3">
        <v>39.270000000000003</v>
      </c>
      <c r="Z36" s="3">
        <f>Table292[[#This Row],[Cases Entered]]*Table292[[#This Row],[DF LBS DARK]]</f>
        <v>0</v>
      </c>
      <c r="AA36" s="7">
        <v>61.65</v>
      </c>
      <c r="AB36" s="7">
        <f>Table292[[#This Row],[DF $]]*Table292[[#This Row],[Cases Entered]]</f>
        <v>0</v>
      </c>
    </row>
    <row r="37" spans="8:28" ht="15.5" x14ac:dyDescent="0.35">
      <c r="H37" s="28">
        <v>32</v>
      </c>
      <c r="I37" s="16">
        <v>94403</v>
      </c>
      <c r="J37" s="22" t="s">
        <v>24</v>
      </c>
      <c r="K37" s="5" cm="1">
        <f t="array" ref="K37">_xlfn.IFS(AND(Calculator!N43="",Calculator!O43=""),0,AND(Calculator!N43="",Calculator!O43&gt;0),SUM(Calculator!N43,Calculator!O43),AND(Calculator!O43="",Calculator!N43&gt;0),SUM(Calculator!N43,Calculator!O43),AND(Calculator!O43&gt;0,Calculator!N43&gt;0),SUM(Calculator!N43,Calculator!O43))</f>
        <v>0</v>
      </c>
      <c r="M37" s="3">
        <f>Table29[[#This Row],[DF LBS WHITE]]*Table29[[#This Row],[Cases Entered]]</f>
        <v>0</v>
      </c>
      <c r="N37" s="3">
        <v>31.8</v>
      </c>
      <c r="O37" s="3">
        <f>Table29[[#This Row],[Cases Entered]]*Table29[[#This Row],[DF LBS DARK]]</f>
        <v>0</v>
      </c>
      <c r="P37" s="7">
        <v>49.93</v>
      </c>
      <c r="Q37" s="7">
        <f>Table29[[#This Row],[DF $]]*Table29[[#This Row],[Cases Entered]]</f>
        <v>0</v>
      </c>
      <c r="S37" s="28">
        <v>32</v>
      </c>
      <c r="T37" s="16">
        <v>94403</v>
      </c>
      <c r="U37" s="22" t="s">
        <v>24</v>
      </c>
      <c r="V37" s="5">
        <f>_xlfn.XLOOKUP(Table292[[#This Row],[Product Code]],Calculator!$C$13:$C$55,Calculator!$S$13:$S$55)</f>
        <v>0</v>
      </c>
      <c r="X37" s="3">
        <f>Table292[[#This Row],[DF LBS WHITE]]*Table292[[#This Row],[Cases Entered]]</f>
        <v>0</v>
      </c>
      <c r="Y37" s="3">
        <v>31.8</v>
      </c>
      <c r="Z37" s="3">
        <f>Table292[[#This Row],[Cases Entered]]*Table292[[#This Row],[DF LBS DARK]]</f>
        <v>0</v>
      </c>
      <c r="AA37" s="7">
        <v>49.93</v>
      </c>
      <c r="AB37" s="7">
        <f>Table292[[#This Row],[DF $]]*Table292[[#This Row],[Cases Entered]]</f>
        <v>0</v>
      </c>
    </row>
    <row r="38" spans="8:28" ht="15.5" x14ac:dyDescent="0.35">
      <c r="H38" s="28">
        <v>33</v>
      </c>
      <c r="I38" s="16">
        <v>94405</v>
      </c>
      <c r="J38" s="22" t="s">
        <v>108</v>
      </c>
      <c r="K38" s="5" cm="1">
        <f t="array" ref="K38">_xlfn.IFS(AND(Calculator!N44="",Calculator!O44=""),0,AND(Calculator!N44="",Calculator!O44&gt;0),SUM(Calculator!N44,Calculator!O44),AND(Calculator!O44="",Calculator!N44&gt;0),SUM(Calculator!N44,Calculator!O44),AND(Calculator!O44&gt;0,Calculator!N44&gt;0),SUM(Calculator!N44,Calculator!O44))</f>
        <v>0</v>
      </c>
      <c r="M38" s="3">
        <f>Table29[[#This Row],[DF LBS WHITE]]*Table29[[#This Row],[Cases Entered]]</f>
        <v>0</v>
      </c>
      <c r="N38" s="3">
        <v>31.8</v>
      </c>
      <c r="O38" s="3">
        <f>Table29[[#This Row],[Cases Entered]]*Table29[[#This Row],[DF LBS DARK]]</f>
        <v>0</v>
      </c>
      <c r="P38" s="7">
        <v>49.93</v>
      </c>
      <c r="Q38" s="7">
        <f>Table29[[#This Row],[DF $]]*Table29[[#This Row],[Cases Entered]]</f>
        <v>0</v>
      </c>
      <c r="S38" s="28">
        <v>33</v>
      </c>
      <c r="T38" s="16">
        <v>94405</v>
      </c>
      <c r="U38" s="22" t="s">
        <v>108</v>
      </c>
      <c r="V38" s="5">
        <f>_xlfn.XLOOKUP(Table292[[#This Row],[Product Code]],Calculator!$C$13:$C$55,Calculator!$S$13:$S$55)</f>
        <v>0</v>
      </c>
      <c r="X38" s="3">
        <f>Table292[[#This Row],[DF LBS WHITE]]*Table292[[#This Row],[Cases Entered]]</f>
        <v>0</v>
      </c>
      <c r="Y38" s="3">
        <v>31.8</v>
      </c>
      <c r="Z38" s="3">
        <f>Table292[[#This Row],[Cases Entered]]*Table292[[#This Row],[DF LBS DARK]]</f>
        <v>0</v>
      </c>
      <c r="AA38" s="7">
        <v>49.93</v>
      </c>
      <c r="AB38" s="7">
        <f>Table292[[#This Row],[DF $]]*Table292[[#This Row],[Cases Entered]]</f>
        <v>0</v>
      </c>
    </row>
    <row r="39" spans="8:28" ht="15.5" x14ac:dyDescent="0.35">
      <c r="H39" s="28">
        <v>34</v>
      </c>
      <c r="I39" s="16" t="s">
        <v>123</v>
      </c>
      <c r="J39" s="22"/>
      <c r="K39" s="5" cm="1">
        <f t="array" ref="K39">_xlfn.IFS(AND(Calculator!N45="",Calculator!O45=""),0,AND(Calculator!N45="",Calculator!O45&gt;0),SUM(Calculator!N45,Calculator!O45),AND(Calculator!O45="",Calculator!N45&gt;0),SUM(Calculator!N45,Calculator!O45),AND(Calculator!O45&gt;0,Calculator!N45&gt;0),SUM(Calculator!N45,Calculator!O45))</f>
        <v>0</v>
      </c>
      <c r="L39" s="5"/>
      <c r="M39" s="3">
        <f>Table29[[#This Row],[DF LBS WHITE]]*Table29[[#This Row],[Cases Entered]]</f>
        <v>0</v>
      </c>
      <c r="N39" s="3"/>
      <c r="O39" s="3">
        <f>Table29[[#This Row],[Cases Entered]]*Table29[[#This Row],[DF LBS DARK]]</f>
        <v>0</v>
      </c>
      <c r="P39" s="7"/>
      <c r="Q39" s="7">
        <f>Table29[[#This Row],[DF $]]*Table29[[#This Row],[Cases Entered]]</f>
        <v>0</v>
      </c>
      <c r="S39" s="28">
        <v>34</v>
      </c>
      <c r="T39" s="16" t="s">
        <v>123</v>
      </c>
      <c r="U39" s="22"/>
      <c r="V39" s="5">
        <f>_xlfn.XLOOKUP(Table292[[#This Row],[Product Code]],Calculator!$C$13:$C$55,Calculator!$S$13:$S$55)</f>
        <v>0</v>
      </c>
      <c r="W39" s="5"/>
      <c r="X39" s="3"/>
      <c r="Y39" s="3"/>
      <c r="Z39" s="3">
        <f>Table292[[#This Row],[Cases Entered]]*Table292[[#This Row],[DF LBS DARK]]</f>
        <v>0</v>
      </c>
      <c r="AA39" s="7"/>
      <c r="AB39" s="7"/>
    </row>
    <row r="40" spans="8:28" ht="16" thickBot="1" x14ac:dyDescent="0.4">
      <c r="H40" s="28">
        <v>35</v>
      </c>
      <c r="I40" s="16">
        <v>97103</v>
      </c>
      <c r="J40" s="23" t="s">
        <v>109</v>
      </c>
      <c r="K40" s="5" cm="1">
        <f t="array" ref="K40">_xlfn.IFS(AND(Calculator!N46="",Calculator!O46=""),0,AND(Calculator!N46="",Calculator!O46&gt;0),SUM(Calculator!N46,Calculator!O46),AND(Calculator!O46="",Calculator!N46&gt;0),SUM(Calculator!N46,Calculator!O46),AND(Calculator!O46&gt;0,Calculator!N46&gt;0),SUM(Calculator!N46,Calculator!O46))</f>
        <v>0</v>
      </c>
      <c r="L40">
        <v>7.64</v>
      </c>
      <c r="M40" s="3">
        <f>Table29[[#This Row],[DF LBS WHITE]]*Table29[[#This Row],[Cases Entered]]</f>
        <v>0</v>
      </c>
      <c r="N40" s="3">
        <v>29.78</v>
      </c>
      <c r="O40" s="3">
        <f>Table29[[#This Row],[Cases Entered]]*Table29[[#This Row],[DF LBS DARK]]</f>
        <v>0</v>
      </c>
      <c r="P40" s="7">
        <v>58.74</v>
      </c>
      <c r="Q40" s="7">
        <f>Table29[[#This Row],[DF $]]*Table29[[#This Row],[Cases Entered]]</f>
        <v>0</v>
      </c>
      <c r="S40" s="28">
        <v>35</v>
      </c>
      <c r="T40" s="16">
        <v>97103</v>
      </c>
      <c r="U40" s="23" t="s">
        <v>109</v>
      </c>
      <c r="V40" s="5">
        <f>_xlfn.XLOOKUP(Table292[[#This Row],[Product Code]],Calculator!$C$13:$C$55,Calculator!$S$13:$S$55)</f>
        <v>0</v>
      </c>
      <c r="W40">
        <v>7.64</v>
      </c>
      <c r="X40" s="3">
        <f>Table292[[#This Row],[DF LBS WHITE]]*Table292[[#This Row],[Cases Entered]]</f>
        <v>0</v>
      </c>
      <c r="Y40" s="3">
        <v>29.78</v>
      </c>
      <c r="Z40" s="3">
        <f>Table292[[#This Row],[Cases Entered]]*Table292[[#This Row],[DF LBS DARK]]</f>
        <v>0</v>
      </c>
      <c r="AA40" s="7">
        <v>58.74</v>
      </c>
      <c r="AB40" s="7">
        <f>Table292[[#This Row],[DF $]]*Table292[[#This Row],[Cases Entered]]</f>
        <v>0</v>
      </c>
    </row>
    <row r="41" spans="8:28" ht="15.5" x14ac:dyDescent="0.35">
      <c r="H41" s="28">
        <v>36</v>
      </c>
      <c r="I41" s="16" t="s">
        <v>121</v>
      </c>
      <c r="J41" s="22"/>
      <c r="K41" s="5" cm="1">
        <f t="array" ref="K41">_xlfn.IFS(AND(Calculator!N47="",Calculator!O47=""),0,AND(Calculator!N47="",Calculator!O47&gt;0),SUM(Calculator!N47,Calculator!O47),AND(Calculator!O47="",Calculator!N47&gt;0),SUM(Calculator!N47,Calculator!O47),AND(Calculator!O47&gt;0,Calculator!N47&gt;0),SUM(Calculator!N47,Calculator!O47))</f>
        <v>0</v>
      </c>
      <c r="L41" s="5"/>
      <c r="M41" s="3">
        <f>Table29[[#This Row],[DF LBS WHITE]]*Table29[[#This Row],[Cases Entered]]</f>
        <v>0</v>
      </c>
      <c r="N41" s="3"/>
      <c r="O41" s="3">
        <f>Table29[[#This Row],[Cases Entered]]*Table29[[#This Row],[DF LBS DARK]]</f>
        <v>0</v>
      </c>
      <c r="P41" s="7"/>
      <c r="Q41" s="7">
        <f>Table29[[#This Row],[DF $]]*Table29[[#This Row],[Cases Entered]]</f>
        <v>0</v>
      </c>
      <c r="S41" s="28">
        <v>36</v>
      </c>
      <c r="T41" s="16" t="s">
        <v>121</v>
      </c>
      <c r="U41" s="22"/>
      <c r="V41" s="5">
        <f>_xlfn.XLOOKUP(Table292[[#This Row],[Product Code]],Calculator!$C$13:$C$55,Calculator!$S$13:$S$55)</f>
        <v>0</v>
      </c>
      <c r="W41" s="5"/>
      <c r="X41" s="3"/>
      <c r="Y41" s="3"/>
      <c r="Z41" s="3">
        <f>Table292[[#This Row],[Cases Entered]]*Table292[[#This Row],[DF LBS DARK]]</f>
        <v>0</v>
      </c>
      <c r="AA41" s="7"/>
      <c r="AB41" s="7"/>
    </row>
    <row r="42" spans="8:28" ht="15.5" x14ac:dyDescent="0.35">
      <c r="H42" s="28">
        <v>37</v>
      </c>
      <c r="I42" s="16">
        <v>54405</v>
      </c>
      <c r="J42" s="22" t="s">
        <v>34</v>
      </c>
      <c r="K42" s="5" cm="1">
        <f t="array" ref="K42">_xlfn.IFS(AND(Calculator!N48="",Calculator!O48=""),0,AND(Calculator!N48="",Calculator!O48&gt;0),SUM(Calculator!N48,Calculator!O48),AND(Calculator!O48="",Calculator!N48&gt;0),SUM(Calculator!N48,Calculator!O48),AND(Calculator!O48&gt;0,Calculator!N48&gt;0),SUM(Calculator!N48,Calculator!O48))</f>
        <v>0</v>
      </c>
      <c r="L42">
        <v>15.69</v>
      </c>
      <c r="M42" s="3">
        <f>Table29[[#This Row],[DF LBS WHITE]]*Table29[[#This Row],[Cases Entered]]</f>
        <v>0</v>
      </c>
      <c r="N42" s="3">
        <v>7.08</v>
      </c>
      <c r="O42" s="3">
        <f>Table29[[#This Row],[Cases Entered]]*Table29[[#This Row],[DF LBS DARK]]</f>
        <v>0</v>
      </c>
      <c r="P42" s="7">
        <v>35.75</v>
      </c>
      <c r="Q42" s="7">
        <f>Table29[[#This Row],[DF $]]*Table29[[#This Row],[Cases Entered]]</f>
        <v>0</v>
      </c>
      <c r="S42" s="28">
        <v>37</v>
      </c>
      <c r="T42" s="16">
        <v>54405</v>
      </c>
      <c r="U42" s="22" t="s">
        <v>34</v>
      </c>
      <c r="V42" s="5">
        <f>_xlfn.XLOOKUP(Table292[[#This Row],[Product Code]],Calculator!$C$13:$C$55,Calculator!$S$13:$S$55)</f>
        <v>0</v>
      </c>
      <c r="W42">
        <v>15.69</v>
      </c>
      <c r="X42" s="3">
        <f>Table292[[#This Row],[DF LBS WHITE]]*Table292[[#This Row],[Cases Entered]]</f>
        <v>0</v>
      </c>
      <c r="Y42" s="3">
        <v>7.08</v>
      </c>
      <c r="Z42" s="3">
        <f>Table292[[#This Row],[Cases Entered]]*Table292[[#This Row],[DF LBS DARK]]</f>
        <v>0</v>
      </c>
      <c r="AA42" s="7">
        <v>35.75</v>
      </c>
      <c r="AB42" s="7">
        <f>Table292[[#This Row],[DF $]]*Table292[[#This Row],[Cases Entered]]</f>
        <v>0</v>
      </c>
    </row>
    <row r="43" spans="8:28" ht="15.5" x14ac:dyDescent="0.35">
      <c r="H43" s="28">
        <v>38</v>
      </c>
      <c r="I43" s="16">
        <v>54407</v>
      </c>
      <c r="J43" s="22" t="s">
        <v>103</v>
      </c>
      <c r="K43" s="5" cm="1">
        <f t="array" ref="K43">_xlfn.IFS(AND(Calculator!N49="",Calculator!O49=""),0,AND(Calculator!N49="",Calculator!O49&gt;0),SUM(Calculator!N49,Calculator!O49),AND(Calculator!O49="",Calculator!N49&gt;0),SUM(Calculator!N49,Calculator!O49),AND(Calculator!O49&gt;0,Calculator!N49&gt;0),SUM(Calculator!N49,Calculator!O49))</f>
        <v>0</v>
      </c>
      <c r="L43">
        <v>15.69</v>
      </c>
      <c r="M43" s="3">
        <f>Table29[[#This Row],[DF LBS WHITE]]*Table29[[#This Row],[Cases Entered]]</f>
        <v>0</v>
      </c>
      <c r="N43" s="3">
        <v>7.08</v>
      </c>
      <c r="O43" s="3">
        <f>Table29[[#This Row],[Cases Entered]]*Table29[[#This Row],[DF LBS DARK]]</f>
        <v>0</v>
      </c>
      <c r="P43" s="7">
        <v>35.75</v>
      </c>
      <c r="Q43" s="7">
        <f>Table29[[#This Row],[DF $]]*Table29[[#This Row],[Cases Entered]]</f>
        <v>0</v>
      </c>
      <c r="S43" s="28">
        <v>38</v>
      </c>
      <c r="T43" s="16">
        <v>54407</v>
      </c>
      <c r="U43" s="22" t="s">
        <v>103</v>
      </c>
      <c r="V43" s="5">
        <f>_xlfn.XLOOKUP(Table292[[#This Row],[Product Code]],Calculator!$C$13:$C$55,Calculator!$S$13:$S$55)</f>
        <v>0</v>
      </c>
      <c r="W43">
        <v>15.69</v>
      </c>
      <c r="X43" s="3">
        <f>Table292[[#This Row],[DF LBS WHITE]]*Table292[[#This Row],[Cases Entered]]</f>
        <v>0</v>
      </c>
      <c r="Y43" s="3">
        <v>7.08</v>
      </c>
      <c r="Z43" s="3">
        <f>Table292[[#This Row],[Cases Entered]]*Table292[[#This Row],[DF LBS DARK]]</f>
        <v>0</v>
      </c>
      <c r="AA43" s="7">
        <v>35.75</v>
      </c>
      <c r="AB43" s="7">
        <f>Table292[[#This Row],[DF $]]*Table292[[#This Row],[Cases Entered]]</f>
        <v>0</v>
      </c>
    </row>
    <row r="44" spans="8:28" ht="15.5" x14ac:dyDescent="0.35">
      <c r="H44" s="28">
        <v>39</v>
      </c>
      <c r="I44" s="16">
        <v>54409</v>
      </c>
      <c r="J44" s="22" t="s">
        <v>28</v>
      </c>
      <c r="K44" s="5" cm="1">
        <f t="array" ref="K44">_xlfn.IFS(AND(Calculator!N50="",Calculator!O50=""),0,AND(Calculator!N50="",Calculator!O50&gt;0),SUM(Calculator!N50,Calculator!O50),AND(Calculator!O50="",Calculator!N50&gt;0),SUM(Calculator!N50,Calculator!O50),AND(Calculator!O50&gt;0,Calculator!N50&gt;0),SUM(Calculator!N50,Calculator!O50))</f>
        <v>0</v>
      </c>
      <c r="L44">
        <v>9.24</v>
      </c>
      <c r="M44" s="3">
        <f>Table29[[#This Row],[DF LBS WHITE]]*Table29[[#This Row],[Cases Entered]]</f>
        <v>0</v>
      </c>
      <c r="N44" s="3">
        <v>4.17</v>
      </c>
      <c r="O44" s="3">
        <f>Table29[[#This Row],[Cases Entered]]*Table29[[#This Row],[DF LBS DARK]]</f>
        <v>0</v>
      </c>
      <c r="P44" s="7">
        <v>21.06</v>
      </c>
      <c r="Q44" s="7">
        <f>Table29[[#This Row],[DF $]]*Table29[[#This Row],[Cases Entered]]</f>
        <v>0</v>
      </c>
      <c r="S44" s="28">
        <v>39</v>
      </c>
      <c r="T44" s="16">
        <v>54409</v>
      </c>
      <c r="U44" s="22" t="s">
        <v>28</v>
      </c>
      <c r="V44" s="5">
        <f>_xlfn.XLOOKUP(Table292[[#This Row],[Product Code]],Calculator!$C$13:$C$55,Calculator!$S$13:$S$55)</f>
        <v>0</v>
      </c>
      <c r="W44">
        <v>9.24</v>
      </c>
      <c r="X44" s="3">
        <f>Table292[[#This Row],[DF LBS WHITE]]*Table292[[#This Row],[Cases Entered]]</f>
        <v>0</v>
      </c>
      <c r="Y44" s="3">
        <v>4.17</v>
      </c>
      <c r="Z44" s="3">
        <f>Table292[[#This Row],[Cases Entered]]*Table292[[#This Row],[DF LBS DARK]]</f>
        <v>0</v>
      </c>
      <c r="AA44" s="7">
        <v>21.06</v>
      </c>
      <c r="AB44" s="7">
        <f>Table292[[#This Row],[DF $]]*Table292[[#This Row],[Cases Entered]]</f>
        <v>0</v>
      </c>
    </row>
    <row r="45" spans="8:28" ht="15.5" x14ac:dyDescent="0.35">
      <c r="H45" s="28">
        <v>40</v>
      </c>
      <c r="I45" s="16">
        <v>54410</v>
      </c>
      <c r="J45" s="22" t="s">
        <v>29</v>
      </c>
      <c r="K45" s="5" cm="1">
        <f t="array" ref="K45">_xlfn.IFS(AND(Calculator!N51="",Calculator!O51=""),0,AND(Calculator!N51="",Calculator!O51&gt;0),SUM(Calculator!N51,Calculator!O51),AND(Calculator!O51="",Calculator!N51&gt;0),SUM(Calculator!N51,Calculator!O51),AND(Calculator!O51&gt;0,Calculator!N51&gt;0),SUM(Calculator!N51,Calculator!O51))</f>
        <v>0</v>
      </c>
      <c r="L45">
        <v>9.24</v>
      </c>
      <c r="M45" s="3">
        <f>Table29[[#This Row],[DF LBS WHITE]]*Table29[[#This Row],[Cases Entered]]</f>
        <v>0</v>
      </c>
      <c r="N45" s="3">
        <v>4.17</v>
      </c>
      <c r="O45" s="3">
        <f>Table29[[#This Row],[Cases Entered]]*Table29[[#This Row],[DF LBS DARK]]</f>
        <v>0</v>
      </c>
      <c r="P45" s="7">
        <v>21.06</v>
      </c>
      <c r="Q45" s="7">
        <f>Table29[[#This Row],[DF $]]*Table29[[#This Row],[Cases Entered]]</f>
        <v>0</v>
      </c>
      <c r="S45" s="28">
        <v>40</v>
      </c>
      <c r="T45" s="16">
        <v>54410</v>
      </c>
      <c r="U45" s="22" t="s">
        <v>29</v>
      </c>
      <c r="V45" s="5">
        <f>_xlfn.XLOOKUP(Table292[[#This Row],[Product Code]],Calculator!$C$13:$C$55,Calculator!$S$13:$S$55)</f>
        <v>0</v>
      </c>
      <c r="W45">
        <v>9.24</v>
      </c>
      <c r="X45" s="3">
        <f>Table292[[#This Row],[DF LBS WHITE]]*Table292[[#This Row],[Cases Entered]]</f>
        <v>0</v>
      </c>
      <c r="Y45" s="3">
        <v>4.17</v>
      </c>
      <c r="Z45" s="3">
        <f>Table292[[#This Row],[Cases Entered]]*Table292[[#This Row],[DF LBS DARK]]</f>
        <v>0</v>
      </c>
      <c r="AA45" s="7">
        <v>21.06</v>
      </c>
      <c r="AB45" s="7">
        <f>Table292[[#This Row],[DF $]]*Table292[[#This Row],[Cases Entered]]</f>
        <v>0</v>
      </c>
    </row>
    <row r="46" spans="8:28" ht="15.5" x14ac:dyDescent="0.35">
      <c r="H46" s="28">
        <v>41</v>
      </c>
      <c r="I46" s="16">
        <v>54411</v>
      </c>
      <c r="J46" s="22" t="s">
        <v>30</v>
      </c>
      <c r="K46" s="5" cm="1">
        <f t="array" ref="K46">_xlfn.IFS(AND(Calculator!N52="",Calculator!O52=""),0,AND(Calculator!N52="",Calculator!O52&gt;0),SUM(Calculator!N52,Calculator!O52),AND(Calculator!O52="",Calculator!N52&gt;0),SUM(Calculator!N52,Calculator!O52),AND(Calculator!O52&gt;0,Calculator!N52&gt;0),SUM(Calculator!N52,Calculator!O52))</f>
        <v>0</v>
      </c>
      <c r="L46">
        <v>9.24</v>
      </c>
      <c r="M46" s="3">
        <f>Table29[[#This Row],[DF LBS WHITE]]*Table29[[#This Row],[Cases Entered]]</f>
        <v>0</v>
      </c>
      <c r="N46" s="3">
        <v>4.17</v>
      </c>
      <c r="O46" s="3">
        <f>Table29[[#This Row],[Cases Entered]]*Table29[[#This Row],[DF LBS DARK]]</f>
        <v>0</v>
      </c>
      <c r="P46" s="7">
        <v>21.06</v>
      </c>
      <c r="Q46" s="7">
        <f>Table29[[#This Row],[DF $]]*Table29[[#This Row],[Cases Entered]]</f>
        <v>0</v>
      </c>
      <c r="S46" s="28">
        <v>41</v>
      </c>
      <c r="T46" s="16">
        <v>54411</v>
      </c>
      <c r="U46" s="22" t="s">
        <v>30</v>
      </c>
      <c r="V46" s="5">
        <f>_xlfn.XLOOKUP(Table292[[#This Row],[Product Code]],Calculator!$C$13:$C$55,Calculator!$S$13:$S$55)</f>
        <v>0</v>
      </c>
      <c r="W46">
        <v>9.24</v>
      </c>
      <c r="X46" s="3">
        <f>Table292[[#This Row],[DF LBS WHITE]]*Table292[[#This Row],[Cases Entered]]</f>
        <v>0</v>
      </c>
      <c r="Y46" s="3">
        <v>4.17</v>
      </c>
      <c r="Z46" s="3">
        <f>Table292[[#This Row],[Cases Entered]]*Table292[[#This Row],[DF LBS DARK]]</f>
        <v>0</v>
      </c>
      <c r="AA46" s="7">
        <v>21.06</v>
      </c>
      <c r="AB46" s="7">
        <f>Table292[[#This Row],[DF $]]*Table292[[#This Row],[Cases Entered]]</f>
        <v>0</v>
      </c>
    </row>
    <row r="47" spans="8:28" ht="15.5" x14ac:dyDescent="0.35">
      <c r="H47" s="28">
        <v>42</v>
      </c>
      <c r="I47" s="16">
        <v>54453</v>
      </c>
      <c r="J47" s="22" t="s">
        <v>31</v>
      </c>
      <c r="K47" s="5" cm="1">
        <f t="array" ref="K47">_xlfn.IFS(AND(Calculator!N53="",Calculator!O53=""),0,AND(Calculator!N53="",Calculator!O53&gt;0),SUM(Calculator!N53,Calculator!O53),AND(Calculator!O53="",Calculator!N53&gt;0),SUM(Calculator!N53,Calculator!O53),AND(Calculator!O53&gt;0,Calculator!N53&gt;0),SUM(Calculator!N53,Calculator!O53))</f>
        <v>0</v>
      </c>
      <c r="L47">
        <v>9.24</v>
      </c>
      <c r="M47" s="3">
        <f>Table29[[#This Row],[DF LBS WHITE]]*Table29[[#This Row],[Cases Entered]]</f>
        <v>0</v>
      </c>
      <c r="N47" s="3">
        <v>4.17</v>
      </c>
      <c r="O47" s="3">
        <f>Table29[[#This Row],[Cases Entered]]*Table29[[#This Row],[DF LBS DARK]]</f>
        <v>0</v>
      </c>
      <c r="P47" s="7">
        <v>21.06</v>
      </c>
      <c r="Q47" s="7">
        <f>Table29[[#This Row],[DF $]]*Table29[[#This Row],[Cases Entered]]</f>
        <v>0</v>
      </c>
      <c r="S47" s="28">
        <v>42</v>
      </c>
      <c r="T47" s="16">
        <v>54453</v>
      </c>
      <c r="U47" s="22" t="s">
        <v>31</v>
      </c>
      <c r="V47" s="5">
        <f>_xlfn.XLOOKUP(Table292[[#This Row],[Product Code]],Calculator!$C$13:$C$55,Calculator!$S$13:$S$55)</f>
        <v>0</v>
      </c>
      <c r="W47">
        <v>9.24</v>
      </c>
      <c r="X47" s="3">
        <f>Table292[[#This Row],[DF LBS WHITE]]*Table292[[#This Row],[Cases Entered]]</f>
        <v>0</v>
      </c>
      <c r="Y47" s="3">
        <v>4.17</v>
      </c>
      <c r="Z47" s="3">
        <f>Table292[[#This Row],[Cases Entered]]*Table292[[#This Row],[DF LBS DARK]]</f>
        <v>0</v>
      </c>
      <c r="AA47" s="7">
        <v>21.06</v>
      </c>
      <c r="AB47" s="7">
        <f>Table292[[#This Row],[DF $]]*Table292[[#This Row],[Cases Entered]]</f>
        <v>0</v>
      </c>
    </row>
    <row r="48" spans="8:28" ht="15.5" x14ac:dyDescent="0.35">
      <c r="H48" s="28">
        <v>43</v>
      </c>
      <c r="I48" s="16">
        <v>54463</v>
      </c>
      <c r="J48" s="22" t="s">
        <v>32</v>
      </c>
      <c r="K48" s="5" cm="1">
        <f t="array" ref="K48">_xlfn.IFS(AND(Calculator!N54="",Calculator!O54=""),0,AND(Calculator!N54="",Calculator!O54&gt;0),SUM(Calculator!N54,Calculator!O54),AND(Calculator!O54="",Calculator!N54&gt;0),SUM(Calculator!N54,Calculator!O54),AND(Calculator!O54&gt;0,Calculator!N54&gt;0),SUM(Calculator!N54,Calculator!O54))</f>
        <v>0</v>
      </c>
      <c r="L48">
        <v>9.24</v>
      </c>
      <c r="M48" s="3">
        <f>Table29[[#This Row],[DF LBS WHITE]]*Table29[[#This Row],[Cases Entered]]</f>
        <v>0</v>
      </c>
      <c r="N48" s="3">
        <v>4.17</v>
      </c>
      <c r="O48" s="3">
        <f>Table29[[#This Row],[Cases Entered]]*Table29[[#This Row],[DF LBS DARK]]</f>
        <v>0</v>
      </c>
      <c r="P48" s="7">
        <v>21.06</v>
      </c>
      <c r="Q48" s="7">
        <f>Table29[[#This Row],[DF $]]*Table29[[#This Row],[Cases Entered]]</f>
        <v>0</v>
      </c>
      <c r="S48" s="28">
        <v>43</v>
      </c>
      <c r="T48" s="16">
        <v>54463</v>
      </c>
      <c r="U48" s="22" t="s">
        <v>32</v>
      </c>
      <c r="V48" s="5">
        <f>_xlfn.XLOOKUP(Table292[[#This Row],[Product Code]],Calculator!$C$13:$C$55,Calculator!$S$13:$S$55)</f>
        <v>0</v>
      </c>
      <c r="W48">
        <v>9.24</v>
      </c>
      <c r="X48" s="3">
        <f>Table292[[#This Row],[DF LBS WHITE]]*Table292[[#This Row],[Cases Entered]]</f>
        <v>0</v>
      </c>
      <c r="Y48" s="3">
        <v>4.17</v>
      </c>
      <c r="Z48" s="3">
        <f>Table292[[#This Row],[Cases Entered]]*Table292[[#This Row],[DF LBS DARK]]</f>
        <v>0</v>
      </c>
      <c r="AA48" s="7">
        <v>21.06</v>
      </c>
      <c r="AB48" s="7">
        <f>Table292[[#This Row],[DF $]]*Table292[[#This Row],[Cases Entered]]</f>
        <v>0</v>
      </c>
    </row>
    <row r="49" spans="8:48" ht="15.5" x14ac:dyDescent="0.35">
      <c r="H49" s="28">
        <v>44</v>
      </c>
      <c r="I49" s="16">
        <v>54464</v>
      </c>
      <c r="J49" s="22" t="s">
        <v>39</v>
      </c>
      <c r="K49" s="5" cm="1">
        <f t="array" ref="K49">_xlfn.IFS(AND(Calculator!N55="",Calculator!O55=""),0,AND(Calculator!N55="",Calculator!O55&gt;0),SUM(Calculator!N55,Calculator!O55),AND(Calculator!O55="",Calculator!N55&gt;0),SUM(Calculator!N55,Calculator!O55),AND(Calculator!O55&gt;0,Calculator!N55&gt;0),SUM(Calculator!N55,Calculator!O55))</f>
        <v>0</v>
      </c>
      <c r="L49">
        <v>9.24</v>
      </c>
      <c r="M49" s="3">
        <f>Table29[[#This Row],[DF LBS WHITE]]*Table29[[#This Row],[Cases Entered]]</f>
        <v>0</v>
      </c>
      <c r="N49" s="3">
        <v>4.17</v>
      </c>
      <c r="O49" s="3">
        <f>Table29[[#This Row],[Cases Entered]]*Table29[[#This Row],[DF LBS DARK]]</f>
        <v>0</v>
      </c>
      <c r="P49" s="7">
        <v>21.06</v>
      </c>
      <c r="Q49" s="7">
        <f>Table29[[#This Row],[DF $]]*Table29[[#This Row],[Cases Entered]]</f>
        <v>0</v>
      </c>
      <c r="S49" s="28">
        <v>44</v>
      </c>
      <c r="T49" s="16">
        <v>54464</v>
      </c>
      <c r="U49" s="22" t="s">
        <v>39</v>
      </c>
      <c r="V49" s="5">
        <f>_xlfn.XLOOKUP(Table292[[#This Row],[Product Code]],Calculator!$C$13:$C$55,Calculator!$S$13:$S$55)</f>
        <v>0</v>
      </c>
      <c r="W49">
        <v>9.24</v>
      </c>
      <c r="X49" s="3">
        <f>Table292[[#This Row],[DF LBS WHITE]]*Table292[[#This Row],[Cases Entered]]</f>
        <v>0</v>
      </c>
      <c r="Y49" s="3">
        <v>4.17</v>
      </c>
      <c r="Z49" s="3">
        <f>Table292[[#This Row],[Cases Entered]]*Table292[[#This Row],[DF LBS DARK]]</f>
        <v>0</v>
      </c>
      <c r="AA49" s="7">
        <v>21.06</v>
      </c>
      <c r="AB49" s="7">
        <f>Table292[[#This Row],[DF $]]*Table292[[#This Row],[Cases Entered]]</f>
        <v>0</v>
      </c>
    </row>
    <row r="50" spans="8:48" x14ac:dyDescent="0.35">
      <c r="I50" s="16" t="s">
        <v>47</v>
      </c>
      <c r="J50" s="16"/>
      <c r="K50" s="4"/>
      <c r="L50" s="4"/>
      <c r="M50" s="27">
        <f>SUBTOTAL(109,Table29[TOTAL DF LBS WHITE])</f>
        <v>0</v>
      </c>
      <c r="N50" s="27"/>
      <c r="O50" s="27">
        <f>SUBTOTAL(109,Table29[TOTAL DF LBS DARK])</f>
        <v>0</v>
      </c>
      <c r="P50" s="4"/>
      <c r="Q50" s="7">
        <f>SUBTOTAL(109,Table29[TOTAL DF $])</f>
        <v>0</v>
      </c>
      <c r="T50" s="16" t="s">
        <v>47</v>
      </c>
      <c r="V50" s="4"/>
      <c r="W50" s="4"/>
      <c r="X50" s="27">
        <f>SUBTOTAL(109,Table292[TOTAL DF LBS WHITE])</f>
        <v>0</v>
      </c>
      <c r="Y50" s="27"/>
      <c r="Z50" s="27">
        <f>SUBTOTAL(109,Table292[TOTAL DF LBS DARK])</f>
        <v>0</v>
      </c>
      <c r="AA50" s="4"/>
      <c r="AB50" s="7">
        <f>SUBTOTAL(109,Table292[TOTAL DF $])</f>
        <v>0</v>
      </c>
    </row>
    <row r="52" spans="8:48" s="32" customFormat="1" x14ac:dyDescent="0.35"/>
    <row r="55" spans="8:48" ht="23.5" x14ac:dyDescent="0.55000000000000004">
      <c r="AG55" s="162" t="s">
        <v>125</v>
      </c>
      <c r="AH55" s="162"/>
      <c r="AI55" s="162"/>
    </row>
    <row r="56" spans="8:48" ht="24" thickBot="1" x14ac:dyDescent="0.6">
      <c r="AG56" s="33" t="s">
        <v>83</v>
      </c>
      <c r="AH56" s="34"/>
      <c r="AI56" s="33" t="s">
        <v>81</v>
      </c>
    </row>
    <row r="57" spans="8:48" ht="24" thickTop="1" x14ac:dyDescent="0.55000000000000004">
      <c r="AG57" s="35" t="str">
        <f>IF(M3&lt;0,"",M3)</f>
        <v/>
      </c>
      <c r="AH57" s="34"/>
      <c r="AI57" s="35" t="str">
        <f>IF(M2&lt;0,"",M2)</f>
        <v/>
      </c>
    </row>
    <row r="58" spans="8:48" s="32" customFormat="1" x14ac:dyDescent="0.35"/>
    <row r="59" spans="8:48" ht="15" thickBot="1" x14ac:dyDescent="0.4"/>
    <row r="60" spans="8:48" ht="42" customHeight="1" x14ac:dyDescent="0.35">
      <c r="AN60" s="39" t="s">
        <v>131</v>
      </c>
      <c r="AO60" s="38"/>
      <c r="AP60" s="39" t="s">
        <v>132</v>
      </c>
      <c r="AQ60" s="38"/>
      <c r="AR60" s="41" t="s">
        <v>128</v>
      </c>
      <c r="AS60" s="38"/>
      <c r="AT60" s="41" t="s">
        <v>127</v>
      </c>
      <c r="AU60" s="38"/>
      <c r="AV60" s="38"/>
    </row>
    <row r="61" spans="8:48" x14ac:dyDescent="0.35">
      <c r="AN61" s="40"/>
      <c r="AO61" s="38"/>
      <c r="AP61" s="40" t="s">
        <v>133</v>
      </c>
      <c r="AQ61" s="38"/>
      <c r="AR61" s="40">
        <v>81401</v>
      </c>
      <c r="AS61" s="38"/>
      <c r="AT61" s="40" t="s">
        <v>48</v>
      </c>
      <c r="AU61" s="38"/>
      <c r="AV61" s="38"/>
    </row>
    <row r="62" spans="8:48" ht="45" customHeight="1" thickBot="1" x14ac:dyDescent="0.4">
      <c r="AN62" s="42" t="str">
        <f>IF($E$11&lt;1,"",$E$11)</f>
        <v/>
      </c>
      <c r="AO62" s="38"/>
      <c r="AP62" s="42" t="str">
        <f>IF($E$13&lt;1,"",$E$13)</f>
        <v/>
      </c>
      <c r="AQ62" s="38"/>
      <c r="AR62" s="42" t="str">
        <f>IF($E$7&lt;1,"",$E$7)</f>
        <v/>
      </c>
      <c r="AS62" s="38"/>
      <c r="AT62" s="43" t="str">
        <f>IF($E$8&lt;1,"",$E$8)</f>
        <v/>
      </c>
      <c r="AU62" s="38"/>
      <c r="AV62" s="38"/>
    </row>
    <row r="63" spans="8:48" ht="15" customHeight="1" thickBot="1" x14ac:dyDescent="0.4">
      <c r="AN63" s="38"/>
      <c r="AO63" s="38"/>
      <c r="AP63" s="38"/>
      <c r="AQ63" s="38"/>
      <c r="AR63" s="37"/>
      <c r="AS63" s="38"/>
      <c r="AT63" s="38"/>
      <c r="AU63" s="36"/>
      <c r="AV63" s="36"/>
    </row>
    <row r="64" spans="8:48" ht="31" x14ac:dyDescent="0.35">
      <c r="AN64" s="39" t="s">
        <v>119</v>
      </c>
      <c r="AP64" s="41" t="s">
        <v>129</v>
      </c>
      <c r="AR64" s="41" t="s">
        <v>130</v>
      </c>
      <c r="AS64" s="38"/>
      <c r="AT64" s="41" t="s">
        <v>126</v>
      </c>
      <c r="AU64" s="36"/>
      <c r="AV64" s="36"/>
    </row>
    <row r="65" spans="40:48" ht="15" customHeight="1" x14ac:dyDescent="0.35">
      <c r="AN65" s="40" t="s">
        <v>134</v>
      </c>
      <c r="AP65" s="40">
        <v>37101</v>
      </c>
      <c r="AR65" s="40" t="s">
        <v>49</v>
      </c>
      <c r="AS65" s="38"/>
      <c r="AT65" s="40">
        <v>91402</v>
      </c>
      <c r="AU65" s="36"/>
      <c r="AV65" s="36"/>
    </row>
    <row r="66" spans="40:48" ht="45" customHeight="1" thickBot="1" x14ac:dyDescent="0.4">
      <c r="AN66" s="42" t="str">
        <f>IF($E$12&lt;1,"",$E$12)</f>
        <v/>
      </c>
      <c r="AP66" s="42" t="str">
        <f>IF($E$6&lt;1,"",$E$6)</f>
        <v/>
      </c>
      <c r="AR66" s="42" t="str">
        <f>IF($E$10&lt;1,"",$E$10)</f>
        <v/>
      </c>
      <c r="AS66" s="38"/>
      <c r="AT66" s="42" t="str">
        <f>IF($E$9&lt;1,"",$E$9)</f>
        <v/>
      </c>
      <c r="AU66" s="36"/>
      <c r="AV66" s="36"/>
    </row>
    <row r="67" spans="40:48" ht="15.75" customHeight="1" x14ac:dyDescent="0.35">
      <c r="AN67" s="38"/>
      <c r="AO67" s="38"/>
      <c r="AP67" s="38"/>
      <c r="AQ67" s="38"/>
      <c r="AR67" s="38"/>
      <c r="AS67" s="38"/>
      <c r="AT67" s="38"/>
      <c r="AU67" s="36"/>
      <c r="AV67" s="36"/>
    </row>
    <row r="68" spans="40:48" x14ac:dyDescent="0.35">
      <c r="AO68" s="38"/>
      <c r="AQ68" s="38"/>
      <c r="AS68" s="38"/>
      <c r="AT68" s="38"/>
      <c r="AU68" s="36"/>
      <c r="AV68" s="36"/>
    </row>
    <row r="69" spans="40:48" x14ac:dyDescent="0.35">
      <c r="AO69" s="38"/>
      <c r="AQ69" s="38"/>
      <c r="AS69" s="38"/>
      <c r="AT69" s="38"/>
      <c r="AU69" s="36"/>
      <c r="AV69" s="36"/>
    </row>
    <row r="70" spans="40:48" ht="45" customHeight="1" x14ac:dyDescent="0.35">
      <c r="AO70" s="38"/>
      <c r="AQ70" s="38"/>
      <c r="AS70" s="38"/>
      <c r="AT70" s="38"/>
      <c r="AU70" s="36"/>
      <c r="AV70" s="36"/>
    </row>
    <row r="71" spans="40:48" x14ac:dyDescent="0.35">
      <c r="AN71" s="38"/>
      <c r="AO71" s="38"/>
      <c r="AP71" s="38"/>
      <c r="AQ71" s="38"/>
      <c r="AR71" s="38"/>
      <c r="AS71" s="38"/>
      <c r="AT71" s="38"/>
      <c r="AU71" s="36"/>
      <c r="AV71" s="36"/>
    </row>
    <row r="72" spans="40:48" x14ac:dyDescent="0.35">
      <c r="AN72" s="38"/>
      <c r="AO72" s="38"/>
      <c r="AP72" s="38"/>
      <c r="AQ72" s="38"/>
      <c r="AR72" s="38"/>
      <c r="AS72" s="38"/>
      <c r="AT72" s="38"/>
      <c r="AU72" s="36"/>
      <c r="AV72" s="36"/>
    </row>
    <row r="73" spans="40:48" x14ac:dyDescent="0.35">
      <c r="AO73" s="38"/>
      <c r="AP73" s="38"/>
      <c r="AQ73" s="38"/>
      <c r="AS73" s="38"/>
      <c r="AT73" s="38"/>
      <c r="AU73" s="36"/>
      <c r="AV73" s="36"/>
    </row>
    <row r="74" spans="40:48" x14ac:dyDescent="0.35">
      <c r="AO74" s="38"/>
      <c r="AP74" s="38"/>
      <c r="AQ74" s="38"/>
      <c r="AS74" s="38"/>
      <c r="AT74" s="38"/>
      <c r="AU74" s="36"/>
      <c r="AV74" s="36"/>
    </row>
    <row r="75" spans="40:48" x14ac:dyDescent="0.35">
      <c r="AN75" s="38"/>
      <c r="AO75" s="38"/>
      <c r="AP75" s="38"/>
      <c r="AQ75" s="38"/>
      <c r="AR75" s="38"/>
      <c r="AS75" s="38"/>
      <c r="AT75" s="38"/>
      <c r="AU75" s="36"/>
      <c r="AV75" s="36"/>
    </row>
    <row r="76" spans="40:48" x14ac:dyDescent="0.35">
      <c r="AN76" s="38"/>
      <c r="AO76" s="38"/>
      <c r="AP76" s="38"/>
      <c r="AQ76" s="38"/>
      <c r="AR76" s="38"/>
      <c r="AS76" s="38"/>
      <c r="AT76" s="38"/>
      <c r="AU76" s="36"/>
      <c r="AV76" s="36"/>
    </row>
  </sheetData>
  <mergeCells count="1">
    <mergeCell ref="AG55:AI55"/>
  </mergeCells>
  <phoneticPr fontId="3" type="noConversion"/>
  <pageMargins left="0.7" right="0.7" top="0.75" bottom="0.75" header="0.3" footer="0.3"/>
  <ignoredErrors>
    <ignoredError sqref="F7" formula="1"/>
  </ignoredErrors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B24D-7F60-4094-86E9-E967A45820E4}">
  <dimension ref="B2:J22"/>
  <sheetViews>
    <sheetView showGridLines="0" zoomScaleNormal="100" workbookViewId="0">
      <selection activeCell="C16" sqref="C16:F16"/>
    </sheetView>
  </sheetViews>
  <sheetFormatPr defaultColWidth="8.90625" defaultRowHeight="14.5" x14ac:dyDescent="0.35"/>
  <cols>
    <col min="2" max="2" width="18.1796875" customWidth="1"/>
    <col min="3" max="6" width="10.81640625" customWidth="1"/>
    <col min="7" max="7" width="5.6328125" customWidth="1"/>
    <col min="8" max="8" width="21.08984375" bestFit="1" customWidth="1"/>
    <col min="9" max="9" width="20.08984375" customWidth="1"/>
    <col min="10" max="10" width="21.453125" customWidth="1"/>
  </cols>
  <sheetData>
    <row r="2" spans="2:10" x14ac:dyDescent="0.35">
      <c r="I2" s="144"/>
      <c r="J2" s="144"/>
    </row>
    <row r="3" spans="2:10" ht="18.5" x14ac:dyDescent="0.45">
      <c r="H3" s="147"/>
      <c r="I3" s="148" t="s">
        <v>113</v>
      </c>
      <c r="J3" s="149" t="str">
        <f>IF(AND(J7="",I7=""),"",I10+J10)</f>
        <v/>
      </c>
    </row>
    <row r="4" spans="2:10" ht="18.5" x14ac:dyDescent="0.45">
      <c r="H4" s="147"/>
      <c r="I4" s="150" t="s">
        <v>79</v>
      </c>
      <c r="J4" s="151" t="str" cm="1">
        <f t="array" ref="J4">_xlfn.IFS(Calculator!$E$2="","",Calculator!$E$2="Servings",J3*1.4903,Calculator!$E$2="Cases",ROUNDDOWN(J3*1.4903,2))</f>
        <v/>
      </c>
    </row>
    <row r="5" spans="2:10" ht="18.5" x14ac:dyDescent="0.45">
      <c r="H5" s="147"/>
      <c r="I5" s="147"/>
      <c r="J5" s="147"/>
    </row>
    <row r="6" spans="2:10" ht="18.5" x14ac:dyDescent="0.45">
      <c r="H6" s="147"/>
      <c r="I6" s="152" t="s">
        <v>83</v>
      </c>
      <c r="J6" s="152" t="s">
        <v>81</v>
      </c>
    </row>
    <row r="7" spans="2:10" ht="18.5" x14ac:dyDescent="0.45">
      <c r="H7" s="152" t="s">
        <v>110</v>
      </c>
      <c r="I7" s="153" t="str" cm="1">
        <f t="array" ref="I7">_xlfn.IFS(Calculator!$E$2="","",Calculator!$E$2="Servings",Table29[[#Totals],[TOTAL DF LBS DARK]],Calculator!$E$2="Cases",Table292[[#Totals],[TOTAL DF LBS DARK]])</f>
        <v/>
      </c>
      <c r="J7" s="154" t="str" cm="1">
        <f t="array" ref="J7">_xlfn.IFS(Calculator!$E$2="","",Calculator!$E$2="Servings",Table29[[#Totals],[TOTAL DF LBS WHITE]],Calculator!$E$2="Cases",Table292[[#Totals],[TOTAL DF LBS WHITE]])</f>
        <v/>
      </c>
    </row>
    <row r="8" spans="2:10" ht="19" thickBot="1" x14ac:dyDescent="0.5">
      <c r="H8" s="152" t="s">
        <v>111</v>
      </c>
      <c r="I8" s="155" t="str" cm="1">
        <f t="array" ref="I8">_xlfn.IFS(Calculator!$E$2="","",Conversions!M3&lt;0,0,Conversions!M3&gt;0,ROUND(Conversions!M3,2))</f>
        <v/>
      </c>
      <c r="J8" s="156" t="str" cm="1">
        <f t="array" ref="J8">_xlfn.IFS(Calculator!$E$2="","",Conversions!M2&lt;0,0,Conversions!M2&gt;0,ROUND(Conversions!M2,2))</f>
        <v/>
      </c>
    </row>
    <row r="9" spans="2:10" ht="19" thickTop="1" x14ac:dyDescent="0.45">
      <c r="H9" s="147"/>
      <c r="I9" s="147"/>
      <c r="J9" s="152"/>
    </row>
    <row r="10" spans="2:10" ht="18.5" x14ac:dyDescent="0.45">
      <c r="H10" s="148" t="s">
        <v>112</v>
      </c>
      <c r="I10" s="153">
        <f>SUM(I7:I8)</f>
        <v>0</v>
      </c>
      <c r="J10" s="154">
        <f>SUM(J7:J8)</f>
        <v>0</v>
      </c>
    </row>
    <row r="11" spans="2:10" ht="25.75" customHeight="1" x14ac:dyDescent="0.35">
      <c r="H11" s="146"/>
      <c r="I11" s="157" t="str">
        <f>IF(OR($J$3="",$J$3=0),"0%",($I$7+$I$8)/$J$3)</f>
        <v>0%</v>
      </c>
      <c r="J11" s="157" t="str">
        <f>IF(OR($J$3="",$J$3=0),"0%",($J$7+$J$8)/$J$3)</f>
        <v>0%</v>
      </c>
    </row>
    <row r="12" spans="2:10" ht="18.5" x14ac:dyDescent="0.45">
      <c r="B12" s="143" t="s">
        <v>148</v>
      </c>
    </row>
    <row r="13" spans="2:10" ht="16" x14ac:dyDescent="0.4">
      <c r="B13" s="145" t="s">
        <v>143</v>
      </c>
      <c r="C13" s="163"/>
      <c r="D13" s="163"/>
      <c r="E13" s="163"/>
      <c r="F13" s="163"/>
    </row>
    <row r="14" spans="2:10" ht="16" x14ac:dyDescent="0.4">
      <c r="B14" s="145" t="s">
        <v>144</v>
      </c>
      <c r="C14" s="163"/>
      <c r="D14" s="163"/>
      <c r="E14" s="163"/>
      <c r="F14" s="163"/>
    </row>
    <row r="15" spans="2:10" ht="16" x14ac:dyDescent="0.4">
      <c r="B15" s="145" t="s">
        <v>145</v>
      </c>
      <c r="C15" s="163"/>
      <c r="D15" s="163"/>
      <c r="E15" s="163"/>
      <c r="F15" s="163"/>
    </row>
    <row r="16" spans="2:10" ht="16" x14ac:dyDescent="0.4">
      <c r="B16" s="145" t="s">
        <v>146</v>
      </c>
      <c r="C16" s="163"/>
      <c r="D16" s="163"/>
      <c r="E16" s="163"/>
      <c r="F16" s="163"/>
    </row>
    <row r="17" spans="2:2" ht="21" customHeight="1" x14ac:dyDescent="0.4">
      <c r="B17" s="158" t="s">
        <v>147</v>
      </c>
    </row>
    <row r="22" spans="2:2" ht="9.75" customHeight="1" x14ac:dyDescent="0.35"/>
  </sheetData>
  <sheetProtection algorithmName="SHA-512" hashValue="5MDzTxYiE78q/kj7sGulwdQlDWtQ2PBg74QPpta5Us83nDPi3g1GX0wwJ1/nz6e4NIX/KjtL+dmJykJ7BC5HPw==" saltValue="5Kxytwg1DBRzm2ZVd0Qt1A==" spinCount="100000" sheet="1" selectLockedCells="1"/>
  <mergeCells count="4">
    <mergeCell ref="C13:F13"/>
    <mergeCell ref="C14:F14"/>
    <mergeCell ref="C15:F15"/>
    <mergeCell ref="C16:F16"/>
  </mergeCells>
  <pageMargins left="0.7" right="0.7" top="0.75" bottom="0.75" header="0.3" footer="0.3"/>
  <pageSetup orientation="portrait" r:id="rId1"/>
  <cellWatches>
    <cellWatch r="J6"/>
    <cellWatch r="I6"/>
    <cellWatch r="I3"/>
  </cellWatch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2026-02-02T18:22:58+00:00</Remediation_x0020_Date>
  </documentManagement>
</p:properties>
</file>

<file path=customXml/itemProps1.xml><?xml version="1.0" encoding="utf-8"?>
<ds:datastoreItem xmlns:ds="http://schemas.openxmlformats.org/officeDocument/2006/customXml" ds:itemID="{6781E8B0-9134-45B2-A346-769A0EF699A0}"/>
</file>

<file path=customXml/itemProps2.xml><?xml version="1.0" encoding="utf-8"?>
<ds:datastoreItem xmlns:ds="http://schemas.openxmlformats.org/officeDocument/2006/customXml" ds:itemID="{842EFC05-1014-403A-9400-5DA03F3AC20A}"/>
</file>

<file path=customXml/itemProps3.xml><?xml version="1.0" encoding="utf-8"?>
<ds:datastoreItem xmlns:ds="http://schemas.openxmlformats.org/officeDocument/2006/customXml" ds:itemID="{FCB60637-0D0C-46C4-84A8-71D98DCE1F4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Calculator</vt:lpstr>
      <vt:lpstr>Monthly Planner</vt:lpstr>
      <vt:lpstr>Conversions</vt:lpstr>
      <vt:lpstr>Review Diversions</vt:lpstr>
      <vt:lpstr>'Monthly Planner'!MW</vt:lpstr>
      <vt:lpstr>MW</vt:lpstr>
      <vt:lpstr>Calculator!Print_Area</vt:lpstr>
      <vt:lpstr>'Monthly Planner'!Print_Area</vt:lpstr>
      <vt:lpstr>'Monthly Planner'!WM_MWWM</vt:lpstr>
      <vt:lpstr>WM_MWWM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Sebastian Rodriguez</dc:creator>
  <cp:lastModifiedBy>CAMERON Beatrice * ODE</cp:lastModifiedBy>
  <cp:lastPrinted>2025-12-05T23:15:33Z</cp:lastPrinted>
  <dcterms:created xsi:type="dcterms:W3CDTF">2018-08-29T21:17:54Z</dcterms:created>
  <dcterms:modified xsi:type="dcterms:W3CDTF">2026-02-02T18:20:24Z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