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7.xml" ContentType="application/vnd.openxmlformats-officedocument.spreadsheetml.table+xml"/>
  <Override PartName="/xl/tables/table6.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9.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25.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K:\_USDA Foods\_2. Diversion-Processing\_State Participation &amp; In-State Processing Agreements\_SPA Renewal\_Ready to Post to Web\Commodity Calculators 25-26\"/>
    </mc:Choice>
  </mc:AlternateContent>
  <xr:revisionPtr revIDLastSave="0" documentId="8_{B67E75D4-EE9A-4322-8091-A437F961FA60}" xr6:coauthVersionLast="47" xr6:coauthVersionMax="47" xr10:uidLastSave="{00000000-0000-0000-0000-000000000000}"/>
  <workbookProtection workbookAlgorithmName="SHA-512" workbookHashValue="vAwYtkYIA4ZKQYfBfaDjEpPyl/696oxIfBcvaG4m/P+XceDSW6SPQBX8NCohMgxGUlmIDhy93OJc3Ee6Lv1gKg==" workbookSaltValue="HUkiOjfu5Iqt50x7lcqX3A==" workbookSpinCount="100000" lockStructure="1"/>
  <bookViews>
    <workbookView xWindow="19090" yWindow="1470" windowWidth="22780" windowHeight="14660" xr2:uid="{D707AC0E-A9AE-41D2-965B-82E4459AE843}"/>
  </bookViews>
  <sheets>
    <sheet name="Servings to DF Pounds" sheetId="4" r:id="rId1"/>
    <sheet name="Cases to DF Pounds" sheetId="6" r:id="rId2"/>
    <sheet name="Monthly Planner" sheetId="8" r:id="rId3"/>
    <sheet name="Revision History" sheetId="9" r:id="rId4"/>
    <sheet name="Dashboard Tables (DF POUNDS)" sheetId="5" state="hidden" r:id="rId5"/>
    <sheet name="Dashboard Tables (SERVINGS)" sheetId="7" state="hidden" r:id="rId6"/>
  </sheets>
  <definedNames>
    <definedName name="_xlnm.Print_Area" localSheetId="1">'Cases to DF Pounds'!$C$1:$N$59</definedName>
    <definedName name="_xlnm.Print_Area" localSheetId="2">'Monthly Planner'!$C$1:$P$51</definedName>
    <definedName name="_xlnm.Print_Area" localSheetId="0">'Servings to DF Pounds'!$C$1:$P$59</definedName>
    <definedName name="switch" localSheetId="1">#REF!</definedName>
    <definedName name="switch" localSheetId="5">#REF!</definedName>
    <definedName name="switch" localSheetId="2">#REF!</definedName>
    <definedName name="switch">#REF!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4" l="1"/>
  <c r="K43" i="4"/>
  <c r="S44" i="8"/>
  <c r="S22" i="8"/>
  <c r="K29" i="4"/>
  <c r="M52" i="6"/>
  <c r="M53" i="6"/>
  <c r="M54" i="6"/>
  <c r="M55" i="6"/>
  <c r="M56" i="6"/>
  <c r="M57" i="6"/>
  <c r="M58" i="6"/>
  <c r="N52" i="6"/>
  <c r="N53" i="6"/>
  <c r="N54" i="6"/>
  <c r="N55" i="6"/>
  <c r="N56" i="6"/>
  <c r="N57" i="6"/>
  <c r="N58" i="6"/>
  <c r="K52" i="6"/>
  <c r="L52" i="6"/>
  <c r="M29" i="6"/>
  <c r="K29" i="6"/>
  <c r="L29" i="6"/>
  <c r="N59" i="6" l="1"/>
  <c r="M59" i="6"/>
  <c r="K52" i="4"/>
  <c r="L52" i="4" l="1"/>
  <c r="F44" i="8" s="1"/>
  <c r="L29" i="4"/>
  <c r="F22" i="8" s="1"/>
  <c r="L72" i="4"/>
  <c r="M72" i="4" s="1"/>
  <c r="K71" i="4"/>
  <c r="L71" i="4" s="1"/>
  <c r="K70" i="4"/>
  <c r="L70" i="4" s="1"/>
  <c r="K69" i="4"/>
  <c r="L69" i="4" s="1"/>
  <c r="S63" i="8"/>
  <c r="F63" i="8" s="1"/>
  <c r="S62" i="8"/>
  <c r="M70" i="6"/>
  <c r="M69" i="6"/>
  <c r="N72" i="6"/>
  <c r="N71" i="6"/>
  <c r="K72" i="6"/>
  <c r="L72" i="6"/>
  <c r="K71" i="6"/>
  <c r="L71" i="6"/>
  <c r="K70" i="6"/>
  <c r="L70" i="6"/>
  <c r="K69" i="6"/>
  <c r="L69" i="6"/>
  <c r="J73" i="6"/>
  <c r="O70" i="4" l="1"/>
  <c r="M70" i="4"/>
  <c r="O69" i="4"/>
  <c r="M69" i="4"/>
  <c r="P71" i="4"/>
  <c r="M71" i="4"/>
  <c r="M52" i="4"/>
  <c r="P52" i="4"/>
  <c r="O52" i="4"/>
  <c r="M29" i="4"/>
  <c r="O29" i="4"/>
  <c r="N52" i="4"/>
  <c r="N29" i="4"/>
  <c r="F62" i="8"/>
  <c r="P72" i="4"/>
  <c r="N72" i="4"/>
  <c r="N71" i="4"/>
  <c r="N70" i="4"/>
  <c r="N69" i="4"/>
  <c r="K64" i="8"/>
  <c r="M51" i="8"/>
  <c r="Q30" i="8"/>
  <c r="I30" i="8"/>
  <c r="N73" i="6"/>
  <c r="K66" i="4"/>
  <c r="L66" i="4" s="1"/>
  <c r="K64" i="4"/>
  <c r="L64" i="4" s="1"/>
  <c r="M64" i="4" s="1"/>
  <c r="K65" i="4"/>
  <c r="L65" i="4" s="1"/>
  <c r="K67" i="4"/>
  <c r="L67" i="4" s="1"/>
  <c r="M67" i="4" s="1"/>
  <c r="K68" i="4"/>
  <c r="L68" i="4" s="1"/>
  <c r="M68" i="6"/>
  <c r="L68" i="6"/>
  <c r="K68" i="6"/>
  <c r="M67" i="6"/>
  <c r="L67" i="6"/>
  <c r="K67" i="6"/>
  <c r="M66" i="6"/>
  <c r="L66" i="6"/>
  <c r="K66" i="6"/>
  <c r="M65" i="6"/>
  <c r="L65" i="6"/>
  <c r="K65" i="6"/>
  <c r="M64" i="6"/>
  <c r="L64" i="6"/>
  <c r="K64" i="6"/>
  <c r="K47" i="4"/>
  <c r="L47" i="4" s="1"/>
  <c r="K46" i="4"/>
  <c r="L46" i="4" s="1"/>
  <c r="K45" i="4"/>
  <c r="K44" i="4"/>
  <c r="K42" i="4"/>
  <c r="K23" i="4"/>
  <c r="O20" i="4"/>
  <c r="K21" i="4"/>
  <c r="K22" i="4"/>
  <c r="K31" i="4"/>
  <c r="K28" i="4"/>
  <c r="K27" i="4"/>
  <c r="K26" i="4"/>
  <c r="K25" i="4"/>
  <c r="K24" i="4"/>
  <c r="L53" i="6"/>
  <c r="L54" i="6"/>
  <c r="L55" i="6"/>
  <c r="L56" i="6"/>
  <c r="L57" i="6"/>
  <c r="L58" i="6"/>
  <c r="N47" i="6"/>
  <c r="N46" i="6"/>
  <c r="N43" i="6"/>
  <c r="L42" i="6"/>
  <c r="L43" i="6"/>
  <c r="L44" i="6"/>
  <c r="L45" i="6"/>
  <c r="L46" i="6"/>
  <c r="L47" i="6"/>
  <c r="K42" i="6"/>
  <c r="K43" i="6"/>
  <c r="K44" i="6"/>
  <c r="K45" i="6"/>
  <c r="K46" i="6"/>
  <c r="K47" i="6"/>
  <c r="M31" i="6"/>
  <c r="M20" i="6"/>
  <c r="M21" i="6"/>
  <c r="M22" i="6"/>
  <c r="M23" i="6"/>
  <c r="M24" i="6"/>
  <c r="M25" i="6"/>
  <c r="M26" i="6"/>
  <c r="M27" i="6"/>
  <c r="M28" i="6"/>
  <c r="M32" i="6"/>
  <c r="M33" i="6"/>
  <c r="M34" i="6"/>
  <c r="M35" i="6"/>
  <c r="M36" i="6"/>
  <c r="K48" i="6" l="1"/>
  <c r="L48" i="6"/>
  <c r="M37" i="6"/>
  <c r="K73" i="6"/>
  <c r="M73" i="6"/>
  <c r="O65" i="4"/>
  <c r="M65" i="4"/>
  <c r="O68" i="4"/>
  <c r="M68" i="4"/>
  <c r="O66" i="4"/>
  <c r="M66" i="4"/>
  <c r="M73" i="4"/>
  <c r="P47" i="4"/>
  <c r="M47" i="4"/>
  <c r="N46" i="4"/>
  <c r="M46" i="4"/>
  <c r="O64" i="4"/>
  <c r="L73" i="4"/>
  <c r="L40" i="8"/>
  <c r="H51" i="8"/>
  <c r="P51" i="8"/>
  <c r="P64" i="8"/>
  <c r="N40" i="8"/>
  <c r="J51" i="8"/>
  <c r="R51" i="8"/>
  <c r="L64" i="8"/>
  <c r="J40" i="8"/>
  <c r="K51" i="8"/>
  <c r="G64" i="8"/>
  <c r="O64" i="8"/>
  <c r="S45" i="8"/>
  <c r="S47" i="8"/>
  <c r="S49" i="8"/>
  <c r="L30" i="8"/>
  <c r="L51" i="8"/>
  <c r="M30" i="8"/>
  <c r="M40" i="8"/>
  <c r="I51" i="8"/>
  <c r="Q51" i="8"/>
  <c r="I64" i="8"/>
  <c r="S20" i="8"/>
  <c r="Q64" i="8"/>
  <c r="J30" i="8"/>
  <c r="R30" i="8"/>
  <c r="S26" i="8"/>
  <c r="R40" i="8"/>
  <c r="H64" i="8"/>
  <c r="S60" i="8"/>
  <c r="F60" i="8" s="1"/>
  <c r="S18" i="8"/>
  <c r="S24" i="8"/>
  <c r="S34" i="8"/>
  <c r="O40" i="8"/>
  <c r="K30" i="8"/>
  <c r="S15" i="8"/>
  <c r="O30" i="8"/>
  <c r="S17" i="8"/>
  <c r="S21" i="8"/>
  <c r="S25" i="8"/>
  <c r="S27" i="8"/>
  <c r="K40" i="8"/>
  <c r="S35" i="8"/>
  <c r="S39" i="8"/>
  <c r="F39" i="8" s="1"/>
  <c r="N51" i="8"/>
  <c r="S48" i="8"/>
  <c r="M64" i="8"/>
  <c r="O51" i="8"/>
  <c r="S57" i="8"/>
  <c r="F57" i="8" s="1"/>
  <c r="N64" i="8"/>
  <c r="N30" i="8"/>
  <c r="S37" i="8"/>
  <c r="S61" i="8"/>
  <c r="F61" i="8" s="1"/>
  <c r="S19" i="8"/>
  <c r="S28" i="8"/>
  <c r="S36" i="8"/>
  <c r="S38" i="8"/>
  <c r="F38" i="8" s="1"/>
  <c r="H30" i="8"/>
  <c r="P30" i="8"/>
  <c r="H40" i="8"/>
  <c r="P40" i="8"/>
  <c r="S46" i="8"/>
  <c r="J64" i="8"/>
  <c r="R64" i="8"/>
  <c r="S59" i="8"/>
  <c r="F59" i="8" s="1"/>
  <c r="S14" i="8"/>
  <c r="S29" i="8"/>
  <c r="I40" i="8"/>
  <c r="Q40" i="8"/>
  <c r="S50" i="8"/>
  <c r="S56" i="8"/>
  <c r="F56" i="8" s="1"/>
  <c r="S58" i="8"/>
  <c r="F58" i="8" s="1"/>
  <c r="G30" i="8"/>
  <c r="G40" i="8"/>
  <c r="S55" i="8"/>
  <c r="F55" i="8" s="1"/>
  <c r="G51" i="8"/>
  <c r="S16" i="8"/>
  <c r="P73" i="4"/>
  <c r="N67" i="4"/>
  <c r="O67" i="4"/>
  <c r="N68" i="4"/>
  <c r="N66" i="4"/>
  <c r="N65" i="4"/>
  <c r="N64" i="4"/>
  <c r="L73" i="6"/>
  <c r="P46" i="4"/>
  <c r="N47" i="4"/>
  <c r="O73" i="4" l="1"/>
  <c r="S51" i="8"/>
  <c r="S40" i="8"/>
  <c r="S30" i="8"/>
  <c r="S64" i="8"/>
  <c r="N73" i="4"/>
  <c r="L20" i="6"/>
  <c r="L21" i="6"/>
  <c r="L22" i="6"/>
  <c r="L23" i="6"/>
  <c r="L24" i="6"/>
  <c r="L25" i="6"/>
  <c r="L26" i="6"/>
  <c r="L27" i="6"/>
  <c r="L28" i="6"/>
  <c r="L31" i="6"/>
  <c r="L32" i="6"/>
  <c r="L33" i="6"/>
  <c r="L34" i="6"/>
  <c r="L35" i="6"/>
  <c r="L36" i="6"/>
  <c r="N20" i="4"/>
  <c r="L37" i="6" l="1"/>
  <c r="L31" i="4"/>
  <c r="F24" i="8" s="1"/>
  <c r="L21" i="4"/>
  <c r="F14" i="8" s="1"/>
  <c r="K31" i="6"/>
  <c r="O31" i="4" l="1"/>
  <c r="O21" i="4"/>
  <c r="N21" i="4"/>
  <c r="N31" i="4"/>
  <c r="M31" i="4"/>
  <c r="M21" i="4"/>
  <c r="K55" i="6" l="1"/>
  <c r="K55" i="4"/>
  <c r="K36" i="4"/>
  <c r="K34" i="4"/>
  <c r="K32" i="4"/>
  <c r="L28" i="4" l="1"/>
  <c r="F21" i="8" s="1"/>
  <c r="L27" i="4"/>
  <c r="F20" i="8" s="1"/>
  <c r="L26" i="4"/>
  <c r="F19" i="8" s="1"/>
  <c r="L25" i="4"/>
  <c r="F18" i="8" s="1"/>
  <c r="L24" i="4"/>
  <c r="F17" i="8" s="1"/>
  <c r="L23" i="4"/>
  <c r="F16" i="8" s="1"/>
  <c r="K26" i="6"/>
  <c r="K23" i="6"/>
  <c r="N42" i="6"/>
  <c r="N44" i="6"/>
  <c r="N45" i="6"/>
  <c r="L22" i="4"/>
  <c r="F15" i="8" s="1"/>
  <c r="L32" i="4"/>
  <c r="F25" i="8" s="1"/>
  <c r="K33" i="4"/>
  <c r="L33" i="4" s="1"/>
  <c r="F26" i="8" s="1"/>
  <c r="L34" i="4"/>
  <c r="F27" i="8" s="1"/>
  <c r="K35" i="4"/>
  <c r="L35" i="4" s="1"/>
  <c r="F28" i="8" s="1"/>
  <c r="L36" i="4"/>
  <c r="F29" i="8" s="1"/>
  <c r="L42" i="4"/>
  <c r="L43" i="4"/>
  <c r="L44" i="4"/>
  <c r="L45" i="4"/>
  <c r="M45" i="4" s="1"/>
  <c r="K58" i="4"/>
  <c r="L58" i="4" s="1"/>
  <c r="M58" i="4" s="1"/>
  <c r="K57" i="4"/>
  <c r="L57" i="4" s="1"/>
  <c r="M57" i="4" s="1"/>
  <c r="K56" i="4"/>
  <c r="L56" i="4" s="1"/>
  <c r="M56" i="4" s="1"/>
  <c r="L55" i="4"/>
  <c r="M55" i="4" s="1"/>
  <c r="K54" i="4"/>
  <c r="L54" i="4" s="1"/>
  <c r="M54" i="4" s="1"/>
  <c r="K53" i="4"/>
  <c r="L53" i="4" s="1"/>
  <c r="K24" i="6"/>
  <c r="K27" i="6"/>
  <c r="K25" i="6"/>
  <c r="K21" i="6"/>
  <c r="K36" i="6"/>
  <c r="K35" i="6"/>
  <c r="K34" i="6"/>
  <c r="K33" i="6"/>
  <c r="K32" i="6"/>
  <c r="K28" i="6"/>
  <c r="K22" i="6"/>
  <c r="K58" i="6"/>
  <c r="K57" i="6"/>
  <c r="K56" i="6"/>
  <c r="K54" i="6"/>
  <c r="K53" i="6"/>
  <c r="K59" i="6" s="1"/>
  <c r="J59" i="6"/>
  <c r="J48" i="6"/>
  <c r="J37" i="6"/>
  <c r="N48" i="6" l="1"/>
  <c r="K37" i="6"/>
  <c r="M53" i="4"/>
  <c r="M59" i="4" s="1"/>
  <c r="L59" i="4"/>
  <c r="L37" i="4"/>
  <c r="M42" i="4"/>
  <c r="L48" i="4"/>
  <c r="F36" i="8"/>
  <c r="M44" i="4"/>
  <c r="F35" i="8"/>
  <c r="M43" i="4"/>
  <c r="F45" i="8"/>
  <c r="P53" i="4"/>
  <c r="O53" i="4"/>
  <c r="F48" i="8"/>
  <c r="O56" i="4"/>
  <c r="P56" i="4"/>
  <c r="F49" i="8"/>
  <c r="P57" i="4"/>
  <c r="O57" i="4"/>
  <c r="F46" i="8"/>
  <c r="P54" i="4"/>
  <c r="O54" i="4"/>
  <c r="F47" i="8"/>
  <c r="P55" i="4"/>
  <c r="O55" i="4"/>
  <c r="F50" i="8"/>
  <c r="O58" i="4"/>
  <c r="P58" i="4"/>
  <c r="N45" i="4"/>
  <c r="F37" i="8"/>
  <c r="N42" i="4"/>
  <c r="F34" i="8"/>
  <c r="N54" i="4"/>
  <c r="N56" i="4"/>
  <c r="N53" i="4"/>
  <c r="N58" i="4"/>
  <c r="N57" i="4"/>
  <c r="N44" i="4"/>
  <c r="N43" i="4"/>
  <c r="P43" i="4"/>
  <c r="N36" i="4"/>
  <c r="O36" i="4"/>
  <c r="N35" i="4"/>
  <c r="O35" i="4"/>
  <c r="N34" i="4"/>
  <c r="O34" i="4"/>
  <c r="N33" i="4"/>
  <c r="O33" i="4"/>
  <c r="N32" i="4"/>
  <c r="O32" i="4"/>
  <c r="N28" i="4"/>
  <c r="O28" i="4"/>
  <c r="N27" i="4"/>
  <c r="O27" i="4"/>
  <c r="N26" i="4"/>
  <c r="O26" i="4"/>
  <c r="N25" i="4"/>
  <c r="O25" i="4"/>
  <c r="N24" i="4"/>
  <c r="O24" i="4"/>
  <c r="N22" i="4"/>
  <c r="O22" i="4"/>
  <c r="N23" i="4"/>
  <c r="O23" i="4"/>
  <c r="N55" i="4"/>
  <c r="L59" i="6"/>
  <c r="M24" i="4"/>
  <c r="M25" i="4"/>
  <c r="M33" i="4"/>
  <c r="M36" i="4"/>
  <c r="P45" i="4"/>
  <c r="P42" i="4"/>
  <c r="P44" i="4"/>
  <c r="M32" i="4"/>
  <c r="M34" i="4"/>
  <c r="M35" i="4"/>
  <c r="M27" i="4"/>
  <c r="M22" i="4"/>
  <c r="M23" i="4"/>
  <c r="M28" i="4"/>
  <c r="M26" i="4"/>
  <c r="O59" i="4" l="1"/>
  <c r="P48" i="4"/>
  <c r="P59" i="4"/>
  <c r="N48" i="4"/>
  <c r="N37" i="4"/>
  <c r="M37" i="4"/>
  <c r="O37" i="4"/>
  <c r="M48" i="4"/>
  <c r="E14" i="5"/>
  <c r="J18" i="5" s="1"/>
  <c r="J62" i="6" s="1" a="1"/>
  <c r="J62" i="6" s="1"/>
  <c r="N24" i="5"/>
  <c r="F18" i="5"/>
  <c r="J40" i="6" s="1" a="1"/>
  <c r="J40" i="6" s="1"/>
  <c r="E6" i="5"/>
  <c r="F6" i="5"/>
  <c r="N59" i="4"/>
  <c r="Q28" i="5" l="1"/>
  <c r="P28" i="5"/>
  <c r="M20" i="7"/>
  <c r="E14" i="7"/>
  <c r="G31" i="7" s="1"/>
  <c r="H31" i="7" s="1"/>
  <c r="F6" i="7"/>
  <c r="E6" i="7"/>
  <c r="I18" i="5"/>
  <c r="J61" i="6" s="1" a="1"/>
  <c r="J61" i="6" s="1"/>
  <c r="E18" i="5"/>
  <c r="H18" i="5"/>
  <c r="N40" i="6" s="1"/>
  <c r="G18" i="5"/>
  <c r="N39" i="6" s="1"/>
  <c r="P25" i="7" l="1"/>
  <c r="O25" i="7"/>
  <c r="J31" i="7"/>
  <c r="I31" i="7" s="1"/>
  <c r="G28" i="7"/>
  <c r="G17" i="7"/>
  <c r="H17" i="7" s="1"/>
  <c r="J39" i="6"/>
  <c r="G25" i="7"/>
  <c r="G21" i="7"/>
  <c r="G14" i="7"/>
  <c r="J62" i="4" l="1" a="1"/>
  <c r="J62" i="4" s="1"/>
  <c r="H28" i="7"/>
  <c r="J28" i="7"/>
  <c r="J17" i="7"/>
  <c r="I17" i="7" s="1"/>
  <c r="J14" i="7"/>
  <c r="H14" i="7"/>
  <c r="H21" i="7"/>
  <c r="J21" i="7"/>
  <c r="H25" i="7"/>
  <c r="J25" i="7"/>
  <c r="I28" i="7" l="1"/>
  <c r="J61" i="4" s="1" a="1"/>
  <c r="J61" i="4" s="1"/>
  <c r="I21" i="7"/>
  <c r="P39" i="4" s="1"/>
  <c r="I14" i="7"/>
  <c r="L39" i="4" s="1"/>
  <c r="I25" i="7"/>
  <c r="P40" i="4" s="1"/>
  <c r="L40"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<sst xmlns="http://schemas.openxmlformats.org/spreadsheetml/2006/main" count="552" uniqueCount="152">
  <si>
    <t>Item Code</t>
  </si>
  <si>
    <t>Product Description</t>
  </si>
  <si>
    <t>Avg. Wt. Per Serving</t>
  </si>
  <si>
    <t>Total Servings</t>
  </si>
  <si>
    <t>Total Sevings Provided</t>
  </si>
  <si>
    <t>DF $ Value Per Case</t>
  </si>
  <si>
    <t>Avg. Servings Per Case</t>
  </si>
  <si>
    <t>DF $ Value</t>
  </si>
  <si>
    <t>DF Pounds Dark Per Case</t>
  </si>
  <si>
    <t>DF Pounds White Per Case</t>
  </si>
  <si>
    <t>DF Pounds WHITE</t>
  </si>
  <si>
    <t>DF Pounds DARK</t>
  </si>
  <si>
    <t>Servings Needed</t>
  </si>
  <si>
    <t xml:space="preserve">Dark Servings </t>
  </si>
  <si>
    <t>Dark Servings Rounded to nearest Case</t>
  </si>
  <si>
    <t>Dark Cases Rounded</t>
  </si>
  <si>
    <t>Svg. Rounded by Case</t>
  </si>
  <si>
    <t>Popper Dark Meat Formed Cases</t>
  </si>
  <si>
    <t>Sausage Dark Meat Formed Cases</t>
  </si>
  <si>
    <t>Total DF                    $ Value</t>
  </si>
  <si>
    <t>Finished Cases</t>
  </si>
  <si>
    <t>Dark Pounds Needed to Balance Order</t>
  </si>
  <si>
    <t xml:space="preserve"> Sausage Dark Cases</t>
  </si>
  <si>
    <t>Popper Dark Cases</t>
  </si>
  <si>
    <t>Total DF Pounds to Divert:</t>
  </si>
  <si>
    <t>Sausage Patty Cases Required:</t>
  </si>
  <si>
    <t>Dark Meat DF Pounds Required</t>
  </si>
  <si>
    <t xml:space="preserve">  </t>
  </si>
  <si>
    <t>Mango Jalapeno Meatball Cases</t>
  </si>
  <si>
    <t>Garlic Basil Meatball Cases</t>
  </si>
  <si>
    <t>Garlic Basil Meatball  Cases</t>
  </si>
  <si>
    <t>White - Dark Meat Portioned Chicken Products</t>
  </si>
  <si>
    <t>20.50 LB.</t>
  </si>
  <si>
    <t>4.10 OZ.</t>
  </si>
  <si>
    <t>2.05 OZ.</t>
  </si>
  <si>
    <t>2/2.05 = 4.10 OZ.</t>
  </si>
  <si>
    <t>4/1.02 = 4.08 OZ.</t>
  </si>
  <si>
    <t>3/1.41 = 4.23 OZ.</t>
  </si>
  <si>
    <t>5/0.84  = 4.20 OZ.</t>
  </si>
  <si>
    <t>3/1.38 = 4.14 OZ.</t>
  </si>
  <si>
    <t>2.80 OZ</t>
  </si>
  <si>
    <t>26.28 LB.</t>
  </si>
  <si>
    <t>47.63 LB.</t>
  </si>
  <si>
    <t>2.60 OZ.</t>
  </si>
  <si>
    <t>5/.52oz= 2.60 OZ.</t>
  </si>
  <si>
    <t>39.27 LB.</t>
  </si>
  <si>
    <t>38.59 LB.</t>
  </si>
  <si>
    <t>53.30 LB.</t>
  </si>
  <si>
    <t>1.37 OZ.</t>
  </si>
  <si>
    <t>31.80 LB.</t>
  </si>
  <si>
    <t>Garlic Basil Meatballs/Patty Cases Required:</t>
  </si>
  <si>
    <t>9.24 LB</t>
  </si>
  <si>
    <t>4.17 LB</t>
  </si>
  <si>
    <t>5/.60 = 3.00 OZ.</t>
  </si>
  <si>
    <t>10/.30 = 3.00 OZ.</t>
  </si>
  <si>
    <t>1.50 OZ.</t>
  </si>
  <si>
    <t>3.00 OZ.</t>
  </si>
  <si>
    <t>3/1.00=  3.00 OZ.</t>
  </si>
  <si>
    <t>Return to your Broker or send to: commodity@richchicks.com</t>
  </si>
  <si>
    <t>District:</t>
  </si>
  <si>
    <t>Address:</t>
  </si>
  <si>
    <t xml:space="preserve">City: </t>
  </si>
  <si>
    <t>State:</t>
  </si>
  <si>
    <t>Zip:</t>
  </si>
  <si>
    <t>Phone:</t>
  </si>
  <si>
    <t>Email:</t>
  </si>
  <si>
    <t>Jul</t>
  </si>
  <si>
    <t>Aug</t>
  </si>
  <si>
    <t>Sep</t>
  </si>
  <si>
    <t>Oct</t>
  </si>
  <si>
    <t>Nov</t>
  </si>
  <si>
    <t>Dec</t>
  </si>
  <si>
    <t>Jan</t>
  </si>
  <si>
    <t>Feb</t>
  </si>
  <si>
    <t>Mar</t>
  </si>
  <si>
    <t>Apr</t>
  </si>
  <si>
    <t>May</t>
  </si>
  <si>
    <t>Jun</t>
  </si>
  <si>
    <t>Total Cases</t>
  </si>
  <si>
    <t>Cases to Add to Monthly Planner</t>
  </si>
  <si>
    <t>White Meat Only Chicken Products  (No Soy, No Egg, No Dairy, No Phosphates!)</t>
  </si>
  <si>
    <t>Made From All White Meat Chicken Products</t>
  </si>
  <si>
    <t>Whole Muscle Chicken Products</t>
  </si>
  <si>
    <t>Dark Meat Only Chicken Products</t>
  </si>
  <si>
    <t>No Antibiotics Ever (NAE) Chicken Products</t>
  </si>
  <si>
    <t>Premium Artisan WG Breaded WM Chicken Breast Fillet, NAE</t>
  </si>
  <si>
    <t>Premium Artisan WG Breaded WM Chicken Breast Slider Fillet, NAE</t>
  </si>
  <si>
    <t>Premium Artisan WG Breaded WM Boneless Chicken Wings, NAE</t>
  </si>
  <si>
    <t>Premium Artisan WG Breaded WM Chicken Tenders, NAE</t>
  </si>
  <si>
    <t>WG Breaded Chicken Patty, NAE</t>
  </si>
  <si>
    <t>WG Breaded Chicken Nugget, NAE</t>
  </si>
  <si>
    <t>Premium Artisan WG Breaded Chicken Breast Fillet</t>
  </si>
  <si>
    <t>Premium Artisan WG Breaded Chicken Breast Slider Fillet</t>
  </si>
  <si>
    <t>Premium Artisan WG Breaded Boneless Chicken Wing/Breast Chunk</t>
  </si>
  <si>
    <t xml:space="preserve">Premium Artisan WG Breaded Chicken Breast Tenders </t>
  </si>
  <si>
    <t>Grilled Seasoned Non-Breaded MWWM Chicken Breast Patty</t>
  </si>
  <si>
    <t>Premium Artisan WG Breaded MWWM Chicken Tender</t>
  </si>
  <si>
    <t>Premium Artisan WG Breaded MWWM Chicken Patty</t>
  </si>
  <si>
    <t>Premium Artisan WG Breaded MWWM Chicken Nugget</t>
  </si>
  <si>
    <t>Dark Meat Chicken Sausage Patty</t>
  </si>
  <si>
    <t>Premium Artisan WG Breaded Dark Meat Chicken Poppers</t>
  </si>
  <si>
    <t xml:space="preserve">Roasted Garlic Basil Chicken Meatballs with Mozzarella Cheese </t>
  </si>
  <si>
    <t>Kickin' Chicken Meatballs with Real Mango and Real Jalapeno</t>
  </si>
  <si>
    <t>Roasted Garlic Basil Chicken Patty With Mozzarella Cheese</t>
  </si>
  <si>
    <t>Kickin' Chicken Patty with Real Mango and Real Jalapeno</t>
  </si>
  <si>
    <t>WG Breaded W/D Popcorn Chicken</t>
  </si>
  <si>
    <t>WG Breaded W/D Chicken Nugget</t>
  </si>
  <si>
    <t>WG Breaded W/D Chicken Slider Patty</t>
  </si>
  <si>
    <t>WG Breaded W/D Chicken Tender</t>
  </si>
  <si>
    <t>WG Breaded W/D Natural Shape Chicken Patty</t>
  </si>
  <si>
    <r>
      <t xml:space="preserve">Premium Artisan </t>
    </r>
    <r>
      <rPr>
        <b/>
        <i/>
        <sz val="12"/>
        <color rgb="FFFF0000"/>
        <rFont val="Calibri"/>
        <family val="2"/>
      </rPr>
      <t>Spicy</t>
    </r>
    <r>
      <rPr>
        <sz val="12"/>
        <rFont val="Calibri"/>
        <family val="2"/>
      </rPr>
      <t xml:space="preserve"> WG Breaded Chicken Breast Fillet</t>
    </r>
  </si>
  <si>
    <r>
      <t xml:space="preserve">Rich-Fil-Yay! </t>
    </r>
    <r>
      <rPr>
        <b/>
        <i/>
        <sz val="12"/>
        <color rgb="FF00B050"/>
        <rFont val="Calibri"/>
        <family val="2"/>
      </rPr>
      <t>Dill Seasoned</t>
    </r>
    <r>
      <rPr>
        <sz val="12"/>
        <rFont val="Calibri"/>
        <family val="2"/>
      </rPr>
      <t xml:space="preserve"> WG Breaded Chicken Breast Fillet</t>
    </r>
  </si>
  <si>
    <r>
      <t xml:space="preserve">Rich-Fil-Yay! </t>
    </r>
    <r>
      <rPr>
        <b/>
        <i/>
        <sz val="12"/>
        <color rgb="FF00B050"/>
        <rFont val="Calibri"/>
        <family val="2"/>
      </rPr>
      <t>Dill Seasoned</t>
    </r>
    <r>
      <rPr>
        <sz val="12"/>
        <rFont val="Calibri"/>
        <family val="2"/>
      </rPr>
      <t xml:space="preserve"> WG Breaded Boneless Chicken Wing/Breast Chunk</t>
    </r>
  </si>
  <si>
    <r>
      <t xml:space="preserve">Premium Artisan </t>
    </r>
    <r>
      <rPr>
        <b/>
        <i/>
        <sz val="12"/>
        <color rgb="FFFF0000"/>
        <rFont val="Calibri"/>
        <family val="2"/>
      </rPr>
      <t>Spicy</t>
    </r>
    <r>
      <rPr>
        <sz val="12"/>
        <rFont val="Calibri"/>
        <family val="2"/>
      </rPr>
      <t xml:space="preserve"> WG Breaded Chicken Breast Tenders </t>
    </r>
  </si>
  <si>
    <r>
      <t xml:space="preserve">Premium Artisan </t>
    </r>
    <r>
      <rPr>
        <b/>
        <i/>
        <sz val="12"/>
        <color rgb="FFFF0000"/>
        <rFont val="Calibri"/>
        <family val="2"/>
      </rPr>
      <t>Spicy</t>
    </r>
    <r>
      <rPr>
        <sz val="12"/>
        <rFont val="Calibri"/>
        <family val="2"/>
      </rPr>
      <t xml:space="preserve"> WG Breaded MWWM Chicken Patty</t>
    </r>
  </si>
  <si>
    <r>
      <t xml:space="preserve">Premium Artisan </t>
    </r>
    <r>
      <rPr>
        <b/>
        <i/>
        <sz val="12"/>
        <color rgb="FFFF0000"/>
        <rFont val="Calibri"/>
        <family val="2"/>
      </rPr>
      <t>Spicy</t>
    </r>
    <r>
      <rPr>
        <sz val="12"/>
        <rFont val="Calibri"/>
        <family val="2"/>
      </rPr>
      <t xml:space="preserve"> WG Breaded MWWM Chicken Tender</t>
    </r>
  </si>
  <si>
    <r>
      <rPr>
        <b/>
        <i/>
        <sz val="12"/>
        <color rgb="FFFF0000"/>
        <rFont val="Calibri"/>
        <family val="2"/>
      </rPr>
      <t>Spicy</t>
    </r>
    <r>
      <rPr>
        <sz val="12"/>
        <rFont val="Calibri"/>
        <family val="2"/>
      </rPr>
      <t xml:space="preserve"> WG Breaded W/D Natural Shape Chicken Patty</t>
    </r>
  </si>
  <si>
    <r>
      <t xml:space="preserve">Premium Artisan </t>
    </r>
    <r>
      <rPr>
        <b/>
        <i/>
        <sz val="12"/>
        <color rgb="FFFF0000"/>
        <rFont val="Calibri"/>
        <family val="2"/>
      </rPr>
      <t>Spicy</t>
    </r>
    <r>
      <rPr>
        <sz val="12"/>
        <rFont val="Calibri"/>
        <family val="2"/>
      </rPr>
      <t xml:space="preserve"> WG Breaded WM Chicken Breast Fillet, NAE</t>
    </r>
  </si>
  <si>
    <t>Garlic Basil Meatballs/Patty Svgs Required:</t>
  </si>
  <si>
    <t>Sausage Patty Svgs Required:</t>
  </si>
  <si>
    <t>Chicken Popper Svgs Required:</t>
  </si>
  <si>
    <t>Seasoned Dark Meat Chicken Crumbles, NAE</t>
  </si>
  <si>
    <t>Premium Artisan WG Breaded Dark Meat Chicken Poppers, NAE</t>
  </si>
  <si>
    <t>Chicken Crumble NAE  Cases Required:</t>
  </si>
  <si>
    <t>Chicken Poppers NAE Cases Required:</t>
  </si>
  <si>
    <t>Chicken Poppers Cases Required:</t>
  </si>
  <si>
    <t>17.78 LB</t>
  </si>
  <si>
    <t>NAE Popper Dark Meat Formed Cases</t>
  </si>
  <si>
    <t>NAE Chicken Crumble Cases</t>
  </si>
  <si>
    <r>
      <t xml:space="preserve">Rich-Fil-Yay! </t>
    </r>
    <r>
      <rPr>
        <b/>
        <i/>
        <sz val="12"/>
        <color rgb="FF00B050"/>
        <rFont val="Calibri"/>
        <family val="2"/>
      </rPr>
      <t>Dill</t>
    </r>
    <r>
      <rPr>
        <sz val="12"/>
        <rFont val="Calibri"/>
        <family val="2"/>
      </rPr>
      <t xml:space="preserve"> </t>
    </r>
    <r>
      <rPr>
        <b/>
        <i/>
        <sz val="12"/>
        <color rgb="FF00B050"/>
        <rFont val="Calibri"/>
        <family val="2"/>
      </rPr>
      <t>Seasoned</t>
    </r>
    <r>
      <rPr>
        <sz val="12"/>
        <rFont val="Calibri"/>
        <family val="2"/>
      </rPr>
      <t xml:space="preserve"> WG Breaded Chicken Breast Fillet</t>
    </r>
  </si>
  <si>
    <t>Chicken Crumble NAE Svgs Required:</t>
  </si>
  <si>
    <t>Chicken Poppers NAE Svgs Required:</t>
  </si>
  <si>
    <t>NAE Popper Dark Cases</t>
  </si>
  <si>
    <t>Grilled Sensations Boneless Chicken Wing/Breast Chunk</t>
  </si>
  <si>
    <t>Premium Artisan WG Breaded W/D MWWM Chicken Slider Patty</t>
  </si>
  <si>
    <t>15.69 LB</t>
  </si>
  <si>
    <t>7.08 LB</t>
  </si>
  <si>
    <t>Jalapeno Mango Meatball Svgs Required:</t>
  </si>
  <si>
    <t>4/0.67=2.68 OZ.</t>
  </si>
  <si>
    <t>Jalapeno Mango Meatball Cases Required:</t>
  </si>
  <si>
    <t>10/0.41 = 4.10 OZ.</t>
  </si>
  <si>
    <t>Revision History</t>
  </si>
  <si>
    <t>SY 2025-2026 Calculator REVISION DATE</t>
  </si>
  <si>
    <t>FILE NAME</t>
  </si>
  <si>
    <t>CHANGE</t>
  </si>
  <si>
    <t>Rich Chicks SY 26 Commodity Calculator and Planner_12.6.2024</t>
  </si>
  <si>
    <t>Updated 94404/5 Servings Per Case &amp; Serving Size</t>
  </si>
  <si>
    <t>White Meat %</t>
  </si>
  <si>
    <t>Dark Meat %</t>
  </si>
  <si>
    <t>Current Breakdown of Diversion</t>
  </si>
  <si>
    <t>Rich Chicks SY 26 Commodity Calculator and Planner_12.16.2024</t>
  </si>
  <si>
    <t>White/Dark Ratio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</si>
</sst>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_(* #,##0_);_(* \(#,##0\);_(* &quot;-&quot;??_);_(@_)"/>
    <numFmt numFmtId="165" formatCode="&quot;$&quot;#.##"/>
    <numFmt numFmtId="166" formatCode="&quot;$&quot;#,##0.00"/>
  </numFmts>
  <fonts count="44" x14ac:knownFonts="1">
    <font>
      <sz val="11"/>
      <color theme="1"/>
      <name val="Calibri"/>
      <family val="2"/>
      <scheme val="minor"/>
    </font>
    <font>
      <sz val="11"/>
      <color theme="1"/>
      <name val="Calibri"/>
      <family val="2"/>
      <scheme val="minor"/>
    </font>
    <font>
      <sz val="10"/>
      <name val="Helv"/>
    </font>
    <font>
      <sz val="10"/>
      <name val="Arial"/>
      <family val="2"/>
    </font>
    <font>
      <b/>
      <sz val="28"/>
      <color theme="1"/>
      <name val="Century Gothic"/>
      <family val="2"/>
    </font>
    <font>
      <sz val="14"/>
      <color theme="1"/>
      <name val="Calibri"/>
      <family val="2"/>
      <scheme val="minor"/>
    </font>
    <font>
      <b/>
      <i/>
      <sz val="24"/>
      <color theme="0"/>
      <name val="Calibri"/>
      <family val="2"/>
    </font>
    <font>
      <b/>
      <sz val="18"/>
      <color theme="1"/>
      <name val="Calibri"/>
      <family val="2"/>
    </font>
    <font>
      <b/>
      <i/>
      <sz val="26"/>
      <color theme="0"/>
      <name val="Calibri"/>
      <family val="2"/>
    </font>
    <font>
      <b/>
      <sz val="24"/>
      <color theme="1"/>
      <name val="Calibri"/>
      <family val="2"/>
      <scheme val="minor"/>
    </font>
    <font>
      <b/>
      <sz val="28"/>
      <color theme="1"/>
      <name val="Calibri"/>
      <family val="2"/>
      <scheme val="minor"/>
    </font>
    <font>
      <sz val="12"/>
      <color theme="1"/>
      <name val="Calibri"/>
      <family val="2"/>
      <scheme val="minor"/>
    </font>
    <font>
      <b/>
      <sz val="14"/>
      <color theme="0"/>
      <name val="Calibri"/>
      <family val="2"/>
    </font>
    <font>
      <b/>
      <sz val="14"/>
      <color theme="1"/>
      <name val="Calibri"/>
      <family val="2"/>
    </font>
    <font>
      <b/>
      <sz val="12"/>
      <name val="Calibri"/>
      <family val="2"/>
    </font>
    <font>
      <sz val="12"/>
      <name val="Calibri"/>
      <family val="2"/>
    </font>
    <font>
      <b/>
      <sz val="12"/>
      <color theme="0"/>
      <name val="Calibri"/>
      <family val="2"/>
    </font>
    <font>
      <sz val="12"/>
      <color theme="1"/>
      <name val="Calibri"/>
      <family val="2"/>
    </font>
    <font>
      <b/>
      <sz val="16"/>
      <name val="Calibri"/>
      <family val="2"/>
    </font>
    <font>
      <sz val="10"/>
      <color theme="1"/>
      <name val="Calibri"/>
      <family val="2"/>
    </font>
    <font>
      <b/>
      <sz val="20"/>
      <name val="Calibri"/>
      <family val="2"/>
      <scheme val="minor"/>
    </font>
    <font>
      <b/>
      <i/>
      <sz val="22"/>
      <color theme="0"/>
      <name val="Calibri"/>
      <family val="2"/>
    </font>
    <font>
      <b/>
      <i/>
      <sz val="20"/>
      <color theme="0"/>
      <name val="Calibri"/>
      <family val="2"/>
    </font>
    <font>
      <b/>
      <i/>
      <sz val="18"/>
      <color theme="0"/>
      <name val="Calibri"/>
      <family val="2"/>
    </font>
    <font>
      <b/>
      <sz val="36"/>
      <color theme="1"/>
      <name val="Calibri"/>
      <family val="2"/>
    </font>
    <font>
      <b/>
      <sz val="26"/>
      <name val="Calibri"/>
      <family val="2"/>
    </font>
    <font>
      <sz val="14"/>
      <name val="Calibri"/>
      <family val="2"/>
    </font>
    <font>
      <sz val="14"/>
      <color theme="1"/>
      <name val="Calibri"/>
      <family val="2"/>
    </font>
    <font>
      <b/>
      <sz val="24"/>
      <color rgb="FF000000"/>
      <name val="Calibri"/>
      <family val="2"/>
      <scheme val="minor"/>
    </font>
    <font>
      <b/>
      <sz val="20"/>
      <color rgb="FF000000"/>
      <name val="Calibri"/>
      <family val="2"/>
      <scheme val="minor"/>
    </font>
    <font>
      <sz val="12"/>
      <name val="Calibri"/>
      <family val="2"/>
    </font>
    <font>
      <b/>
      <i/>
      <sz val="12"/>
      <color rgb="FF00B050"/>
      <name val="Calibri"/>
      <family val="2"/>
    </font>
    <font>
      <b/>
      <i/>
      <sz val="12"/>
      <color rgb="FFFF0000"/>
      <name val="Calibri"/>
      <family val="2"/>
    </font>
    <font>
      <b/>
      <sz val="11"/>
      <color theme="1"/>
      <name val="Calibri"/>
      <family val="2"/>
      <scheme val="minor"/>
    </font>
    <font>
      <b/>
      <sz val="14"/>
      <name val="Calibri"/>
      <family val="2"/>
    </font>
    <font>
      <sz val="8"/>
      <name val="Calibri"/>
      <family val="2"/>
      <scheme val="minor"/>
    </font>
    <font>
      <sz val="12"/>
      <name val="Calibri"/>
    </font>
    <font>
      <b/>
      <sz val="12"/>
      <name val="Calibri"/>
    </font>
    <font>
      <b/>
      <sz val="24"/>
      <name val="Calibri"/>
      <family val="2"/>
    </font>
    <font>
      <sz val="24"/>
      <color theme="1"/>
      <name val="Calibri"/>
      <family val="2"/>
      <scheme val="minor"/>
    </font>
    <font>
      <b/>
      <sz val="14"/>
      <color theme="1"/>
      <name val="Calibri"/>
      <family val="2"/>
      <scheme val="minor"/>
    </font>
    <font>
      <b/>
      <sz val="20"/>
      <name val="Calibri"/>
      <family val="2"/>
    </font>
    <font>
      <b/>
      <sz val="18"/>
      <name val="Calibri"/>
      <family val="2"/>
    </font>
    <font>
      <b/>
      <sz val="28"/>
      <color theme="1"/>
      <name val="Calibri"/>
      <family val="2"/>
    </font>
  </fonts>
  <fills count="11">
    <fill>
      <patternFill patternType="none"/>
    </fill>
    <fill>
      <patternFill patternType="gray125"/>
    </fill>
    <fill>
      <patternFill patternType="solid">
        <fgColor theme="8" tint="0.79998168889431442"/>
        <bgColor indexed="64"/>
      </patternFill>
    </fill>
    <fill>
      <patternFill patternType="solid">
        <fgColor rgb="FFCF4520"/>
        <bgColor indexed="64"/>
      </patternFill>
    </fill>
    <fill>
      <patternFill patternType="solid">
        <fgColor theme="7" tint="0.79998168889431442"/>
        <bgColor indexed="64"/>
      </patternFill>
    </fill>
    <fill>
      <patternFill patternType="solid">
        <fgColor rgb="FFEAAA00"/>
        <bgColor indexed="64"/>
      </patternFill>
    </fill>
    <fill>
      <patternFill patternType="solid">
        <fgColor rgb="FFCC6600"/>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theme="4"/>
      </top>
      <bottom style="medium">
        <color indexed="64"/>
      </bottom>
      <diagonal/>
    </border>
    <border>
      <left/>
      <right style="medium">
        <color indexed="64"/>
      </right>
      <top style="thin">
        <color theme="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theme="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0" fontId="2" fillId="0" borderId="0"/>
    <xf numFmtId="0" fontId="3" fillId="0" borderId="0"/>
    <xf numFmtId="44" fontId="1" fillId="0" borderId="0" applyFont="0" applyFill="0" applyBorder="0" applyAlignment="0" applyProtection="0"/>
    <xf numFmtId="9" fontId="1" fillId="0" borderId="0" applyFont="0" applyFill="0" applyBorder="0" applyAlignment="0" applyProtection="0"/>
  </cellStyleXfs>
  <cellXfs count="257">
    <xf numFmtId="0" fontId="0" fillId="0" borderId="0" xfId="0"/>
    <xf numFmtId="0" fontId="0" fillId="0" borderId="0" xfId="0" applyAlignment="1">
      <alignment horizontal="center" vertical="center" wrapText="1"/>
    </xf>
    <xf numFmtId="43" fontId="0" fillId="0" borderId="0" xfId="1" applyFont="1" applyAlignment="1" applyProtection="1">
      <alignment horizontal="center" vertical="center" wrapText="1"/>
    </xf>
    <xf numFmtId="0" fontId="0" fillId="3" borderId="0" xfId="0" applyFill="1" applyAlignment="1">
      <alignment horizontal="center" vertical="center" wrapText="1"/>
    </xf>
    <xf numFmtId="0" fontId="0" fillId="0" borderId="0" xfId="0" applyAlignment="1">
      <alignment wrapText="1"/>
    </xf>
    <xf numFmtId="0" fontId="5" fillId="0" borderId="0" xfId="0" applyFont="1"/>
    <xf numFmtId="0" fontId="5" fillId="0" borderId="0" xfId="0" applyFont="1" applyAlignment="1">
      <alignment horizontal="center" vertical="center" wrapText="1"/>
    </xf>
    <xf numFmtId="0" fontId="4" fillId="0" borderId="0" xfId="0" applyFont="1" applyAlignment="1">
      <alignment horizontal="center" vertical="top"/>
    </xf>
    <xf numFmtId="0" fontId="9" fillId="0" borderId="0" xfId="0" applyFont="1"/>
    <xf numFmtId="0" fontId="10" fillId="0" borderId="0" xfId="0" applyFont="1" applyAlignment="1">
      <alignment horizontal="center" vertical="center"/>
    </xf>
    <xf numFmtId="0" fontId="11" fillId="0" borderId="0" xfId="0" applyFont="1"/>
    <xf numFmtId="0" fontId="11" fillId="0" borderId="0" xfId="0" applyFont="1" applyAlignment="1">
      <alignment horizontal="center" vertical="center" wrapText="1"/>
    </xf>
    <xf numFmtId="0" fontId="15" fillId="0" borderId="3" xfId="0" applyFont="1" applyBorder="1" applyAlignment="1">
      <alignment horizontal="center" vertical="center"/>
    </xf>
    <xf numFmtId="165" fontId="15" fillId="0" borderId="3" xfId="4" applyNumberFormat="1" applyFont="1" applyFill="1" applyBorder="1" applyAlignment="1" applyProtection="1">
      <alignment horizontal="left" vertical="center"/>
    </xf>
    <xf numFmtId="2" fontId="15" fillId="0" borderId="3" xfId="0" applyNumberFormat="1" applyFont="1" applyBorder="1" applyAlignment="1">
      <alignment horizontal="left" vertical="center"/>
    </xf>
    <xf numFmtId="0" fontId="15" fillId="0" borderId="1" xfId="0" applyFont="1" applyBorder="1" applyAlignment="1">
      <alignment horizontal="center" vertical="center"/>
    </xf>
    <xf numFmtId="2" fontId="15" fillId="0" borderId="1" xfId="0" applyNumberFormat="1" applyFont="1" applyBorder="1" applyAlignment="1">
      <alignment horizontal="left" vertical="center"/>
    </xf>
    <xf numFmtId="0" fontId="15" fillId="0" borderId="2" xfId="0" applyFont="1" applyBorder="1" applyAlignment="1">
      <alignment horizontal="center" vertical="center"/>
    </xf>
    <xf numFmtId="2" fontId="15" fillId="0" borderId="2" xfId="0" applyNumberFormat="1" applyFont="1" applyBorder="1" applyAlignment="1">
      <alignment horizontal="left" vertical="center"/>
    </xf>
    <xf numFmtId="165" fontId="15" fillId="0" borderId="1" xfId="4" applyNumberFormat="1" applyFont="1" applyBorder="1" applyAlignment="1" applyProtection="1">
      <alignment horizontal="left" vertical="center"/>
    </xf>
    <xf numFmtId="0" fontId="15" fillId="0" borderId="1" xfId="2" applyFont="1" applyBorder="1" applyAlignment="1">
      <alignment horizontal="center" vertical="center"/>
    </xf>
    <xf numFmtId="44" fontId="15" fillId="7" borderId="1" xfId="4" applyFont="1" applyFill="1" applyBorder="1" applyAlignment="1" applyProtection="1">
      <alignment horizontal="center" vertical="center"/>
    </xf>
    <xf numFmtId="43" fontId="0" fillId="0" borderId="0" xfId="1" applyFont="1" applyAlignment="1" applyProtection="1">
      <alignment horizontal="center" vertical="center"/>
    </xf>
    <xf numFmtId="1" fontId="8" fillId="6" borderId="0" xfId="0" applyNumberFormat="1" applyFont="1" applyFill="1" applyAlignment="1">
      <alignment horizontal="center" vertical="center"/>
    </xf>
    <xf numFmtId="1" fontId="8" fillId="6" borderId="0" xfId="0" applyNumberFormat="1" applyFont="1" applyFill="1" applyAlignment="1">
      <alignment vertical="center"/>
    </xf>
    <xf numFmtId="43" fontId="15" fillId="0" borderId="1" xfId="1" applyFont="1" applyBorder="1" applyAlignment="1" applyProtection="1">
      <alignment horizontal="left" vertical="center"/>
    </xf>
    <xf numFmtId="43" fontId="15" fillId="0" borderId="1" xfId="1" applyFont="1" applyBorder="1" applyProtection="1"/>
    <xf numFmtId="1" fontId="8" fillId="5" borderId="0" xfId="0" applyNumberFormat="1" applyFont="1" applyFill="1" applyAlignment="1">
      <alignment horizontal="center" vertical="center"/>
    </xf>
    <xf numFmtId="43" fontId="15" fillId="0" borderId="3" xfId="1" applyFont="1" applyFill="1" applyBorder="1" applyAlignment="1" applyProtection="1">
      <alignment horizontal="left" vertical="center"/>
    </xf>
    <xf numFmtId="43" fontId="15" fillId="0" borderId="1" xfId="1" applyFont="1" applyFill="1" applyBorder="1" applyAlignment="1" applyProtection="1">
      <alignment horizontal="left" vertical="center"/>
    </xf>
    <xf numFmtId="0" fontId="15" fillId="0" borderId="1" xfId="2" applyFont="1" applyBorder="1" applyAlignment="1">
      <alignment horizontal="center"/>
    </xf>
    <xf numFmtId="1" fontId="15" fillId="0" borderId="3" xfId="2" applyNumberFormat="1" applyFont="1" applyBorder="1" applyAlignment="1">
      <alignment horizontal="center" vertical="center"/>
    </xf>
    <xf numFmtId="44" fontId="15" fillId="7" borderId="3" xfId="4" applyFont="1" applyFill="1" applyBorder="1" applyAlignment="1" applyProtection="1">
      <alignment horizontal="center" vertical="center"/>
    </xf>
    <xf numFmtId="0" fontId="15" fillId="4" borderId="9" xfId="0" applyFont="1" applyFill="1" applyBorder="1" applyAlignment="1">
      <alignment vertical="center"/>
    </xf>
    <xf numFmtId="2" fontId="15" fillId="4" borderId="9" xfId="0" applyNumberFormat="1" applyFont="1" applyFill="1" applyBorder="1" applyAlignment="1">
      <alignment horizontal="left" vertical="center"/>
    </xf>
    <xf numFmtId="0" fontId="15" fillId="4" borderId="9" xfId="2" applyFont="1" applyFill="1" applyBorder="1" applyAlignment="1">
      <alignment horizontal="center"/>
    </xf>
    <xf numFmtId="0" fontId="16" fillId="4" borderId="9" xfId="0" applyFont="1" applyFill="1" applyBorder="1" applyAlignment="1">
      <alignment horizontal="center" vertical="center" wrapText="1"/>
    </xf>
    <xf numFmtId="43" fontId="16" fillId="4" borderId="9" xfId="1" applyFont="1" applyFill="1" applyBorder="1" applyAlignment="1" applyProtection="1">
      <alignment horizontal="left" vertical="center" wrapText="1"/>
    </xf>
    <xf numFmtId="43" fontId="16" fillId="4" borderId="9" xfId="1" applyFont="1" applyFill="1" applyBorder="1" applyAlignment="1" applyProtection="1">
      <alignment horizontal="center" vertical="center" wrapText="1"/>
    </xf>
    <xf numFmtId="43" fontId="16" fillId="4" borderId="7" xfId="1" applyFont="1" applyFill="1" applyBorder="1" applyAlignment="1" applyProtection="1">
      <alignment horizontal="center" vertical="center" wrapText="1"/>
    </xf>
    <xf numFmtId="43" fontId="15" fillId="0" borderId="2" xfId="1" applyFont="1" applyFill="1" applyBorder="1" applyAlignment="1" applyProtection="1">
      <alignment horizontal="left" vertical="center"/>
    </xf>
    <xf numFmtId="0" fontId="15" fillId="0" borderId="2" xfId="2" applyFont="1" applyBorder="1" applyAlignment="1">
      <alignment horizontal="center" vertical="center"/>
    </xf>
    <xf numFmtId="0" fontId="15" fillId="0" borderId="3" xfId="2" applyFont="1" applyBorder="1" applyAlignment="1">
      <alignment horizontal="center"/>
    </xf>
    <xf numFmtId="0" fontId="14" fillId="4" borderId="9" xfId="0" applyFont="1" applyFill="1" applyBorder="1" applyAlignment="1">
      <alignment vertical="center"/>
    </xf>
    <xf numFmtId="2" fontId="14" fillId="4" borderId="9" xfId="0" applyNumberFormat="1" applyFont="1" applyFill="1" applyBorder="1" applyAlignment="1">
      <alignment horizontal="left" vertical="center"/>
    </xf>
    <xf numFmtId="0" fontId="14" fillId="4" borderId="9" xfId="2" applyFont="1" applyFill="1" applyBorder="1" applyAlignment="1">
      <alignment horizontal="center"/>
    </xf>
    <xf numFmtId="1" fontId="14" fillId="4" borderId="9" xfId="0" applyNumberFormat="1" applyFont="1" applyFill="1" applyBorder="1" applyAlignment="1">
      <alignment horizontal="center" vertical="center"/>
    </xf>
    <xf numFmtId="1" fontId="14" fillId="4" borderId="7" xfId="0" applyNumberFormat="1" applyFont="1" applyFill="1" applyBorder="1" applyAlignment="1">
      <alignment horizontal="center" vertical="center"/>
    </xf>
    <xf numFmtId="0" fontId="12" fillId="5"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2" fillId="6" borderId="2" xfId="0" applyFont="1" applyFill="1" applyBorder="1" applyAlignment="1">
      <alignment horizontal="center" vertical="center" wrapText="1"/>
    </xf>
    <xf numFmtId="0" fontId="12" fillId="6" borderId="2" xfId="0" applyFont="1" applyFill="1" applyBorder="1" applyAlignment="1">
      <alignment horizontal="left"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1" fontId="21" fillId="5" borderId="0" xfId="0" applyNumberFormat="1" applyFont="1" applyFill="1" applyAlignment="1">
      <alignment horizontal="left" vertical="center"/>
    </xf>
    <xf numFmtId="1" fontId="15" fillId="4" borderId="9" xfId="2" applyNumberFormat="1" applyFont="1" applyFill="1" applyBorder="1" applyAlignment="1">
      <alignment horizontal="center"/>
    </xf>
    <xf numFmtId="1" fontId="14" fillId="4" borderId="9" xfId="2" applyNumberFormat="1" applyFont="1" applyFill="1" applyBorder="1" applyAlignment="1">
      <alignment horizontal="center"/>
    </xf>
    <xf numFmtId="3" fontId="15" fillId="2" borderId="3" xfId="1" applyNumberFormat="1" applyFont="1" applyFill="1" applyBorder="1" applyAlignment="1" applyProtection="1">
      <alignment horizontal="center" vertical="center"/>
      <protection locked="0"/>
    </xf>
    <xf numFmtId="43" fontId="17" fillId="0" borderId="3" xfId="1" applyFont="1" applyBorder="1" applyProtection="1"/>
    <xf numFmtId="43" fontId="0" fillId="0" borderId="0" xfId="1" applyFont="1" applyBorder="1" applyAlignment="1" applyProtection="1">
      <alignment horizontal="center" vertical="center" wrapText="1"/>
    </xf>
    <xf numFmtId="0" fontId="21" fillId="5" borderId="8" xfId="0" applyFont="1" applyFill="1" applyBorder="1" applyAlignment="1">
      <alignment vertical="center" wrapText="1"/>
    </xf>
    <xf numFmtId="0" fontId="21" fillId="6" borderId="8" xfId="0" applyFont="1" applyFill="1" applyBorder="1" applyAlignment="1">
      <alignment vertical="center" wrapText="1"/>
    </xf>
    <xf numFmtId="0" fontId="21" fillId="6" borderId="8" xfId="0" applyFont="1" applyFill="1" applyBorder="1" applyAlignment="1">
      <alignment horizontal="right" vertical="center"/>
    </xf>
    <xf numFmtId="0" fontId="21" fillId="5" borderId="8" xfId="0" applyFont="1" applyFill="1" applyBorder="1" applyAlignment="1">
      <alignment horizontal="right" vertical="center"/>
    </xf>
    <xf numFmtId="0" fontId="18" fillId="7" borderId="5" xfId="0" applyFont="1" applyFill="1" applyBorder="1" applyAlignment="1">
      <alignment horizontal="center" vertical="center" wrapText="1"/>
    </xf>
    <xf numFmtId="164" fontId="13" fillId="0" borderId="10" xfId="1" applyNumberFormat="1" applyFont="1" applyBorder="1" applyAlignment="1">
      <alignment horizontal="center" wrapText="1"/>
    </xf>
    <xf numFmtId="3" fontId="15" fillId="2" borderId="3" xfId="0" applyNumberFormat="1" applyFont="1" applyFill="1" applyBorder="1" applyAlignment="1" applyProtection="1">
      <alignment horizontal="center" vertical="center"/>
      <protection locked="0"/>
    </xf>
    <xf numFmtId="3" fontId="15" fillId="2" borderId="1" xfId="0" applyNumberFormat="1" applyFont="1" applyFill="1" applyBorder="1" applyAlignment="1" applyProtection="1">
      <alignment horizontal="center" vertical="center"/>
      <protection locked="0"/>
    </xf>
    <xf numFmtId="3" fontId="15" fillId="2" borderId="2" xfId="0" applyNumberFormat="1" applyFont="1" applyFill="1" applyBorder="1" applyAlignment="1" applyProtection="1">
      <alignment horizontal="center" vertical="center"/>
      <protection locked="0"/>
    </xf>
    <xf numFmtId="0" fontId="0" fillId="3" borderId="0" xfId="0" applyFill="1"/>
    <xf numFmtId="0" fontId="6" fillId="3" borderId="0" xfId="0" applyFont="1" applyFill="1" applyAlignment="1">
      <alignment vertical="center"/>
    </xf>
    <xf numFmtId="3" fontId="22" fillId="3" borderId="0" xfId="0" applyNumberFormat="1" applyFont="1" applyFill="1" applyAlignment="1">
      <alignment horizontal="left" vertical="center"/>
    </xf>
    <xf numFmtId="0" fontId="21" fillId="3" borderId="0" xfId="0" applyFont="1" applyFill="1" applyAlignment="1">
      <alignment vertical="center" wrapText="1"/>
    </xf>
    <xf numFmtId="0" fontId="23" fillId="3" borderId="0" xfId="0" applyFont="1" applyFill="1" applyAlignment="1">
      <alignment horizontal="right" vertical="center"/>
    </xf>
    <xf numFmtId="0" fontId="23" fillId="3" borderId="8" xfId="0" applyFont="1" applyFill="1" applyBorder="1" applyAlignment="1">
      <alignment horizontal="right" vertical="center"/>
    </xf>
    <xf numFmtId="3" fontId="8" fillId="3" borderId="0" xfId="0" applyNumberFormat="1" applyFont="1" applyFill="1" applyAlignment="1">
      <alignment horizontal="center" vertical="center"/>
    </xf>
    <xf numFmtId="3" fontId="17" fillId="2" borderId="1" xfId="0" applyNumberFormat="1" applyFont="1" applyFill="1" applyBorder="1" applyAlignment="1" applyProtection="1">
      <alignment horizontal="center" vertical="center"/>
      <protection locked="0"/>
    </xf>
    <xf numFmtId="3" fontId="17" fillId="2" borderId="3" xfId="0" applyNumberFormat="1" applyFont="1" applyFill="1" applyBorder="1" applyAlignment="1" applyProtection="1">
      <alignment horizontal="center" vertical="center"/>
      <protection locked="0"/>
    </xf>
    <xf numFmtId="2" fontId="11" fillId="0" borderId="0" xfId="0" applyNumberFormat="1" applyFont="1"/>
    <xf numFmtId="8" fontId="15" fillId="0" borderId="1" xfId="4" applyNumberFormat="1" applyFont="1" applyBorder="1" applyAlignment="1" applyProtection="1">
      <alignment horizontal="left" vertical="center"/>
    </xf>
    <xf numFmtId="0" fontId="18" fillId="7" borderId="4" xfId="0" applyFont="1" applyFill="1" applyBorder="1" applyAlignment="1">
      <alignment horizontal="center" vertical="center" wrapText="1"/>
    </xf>
    <xf numFmtId="0" fontId="6" fillId="5" borderId="0" xfId="0" applyFont="1" applyFill="1" applyAlignment="1">
      <alignment vertical="center"/>
    </xf>
    <xf numFmtId="3" fontId="21" fillId="5" borderId="8" xfId="0" applyNumberFormat="1" applyFont="1" applyFill="1" applyBorder="1" applyAlignment="1">
      <alignment horizontal="left" vertical="center" wrapText="1"/>
    </xf>
    <xf numFmtId="2" fontId="15" fillId="0" borderId="1" xfId="1" applyNumberFormat="1" applyFont="1" applyBorder="1" applyAlignment="1" applyProtection="1">
      <alignment horizontal="left" vertical="center"/>
    </xf>
    <xf numFmtId="1" fontId="14" fillId="4" borderId="9" xfId="2" applyNumberFormat="1" applyFont="1" applyFill="1" applyBorder="1" applyAlignment="1">
      <alignment horizontal="center" vertical="center"/>
    </xf>
    <xf numFmtId="1" fontId="15" fillId="0" borderId="3" xfId="1" applyNumberFormat="1" applyFont="1" applyFill="1" applyBorder="1" applyAlignment="1" applyProtection="1">
      <alignment horizontal="center" vertical="center"/>
    </xf>
    <xf numFmtId="1" fontId="15" fillId="0" borderId="1" xfId="1" applyNumberFormat="1" applyFont="1" applyFill="1" applyBorder="1" applyAlignment="1" applyProtection="1">
      <alignment horizontal="center" vertical="center"/>
    </xf>
    <xf numFmtId="1" fontId="15" fillId="0" borderId="1" xfId="1" applyNumberFormat="1" applyFont="1" applyBorder="1" applyAlignment="1" applyProtection="1">
      <alignment horizontal="center" vertical="center"/>
    </xf>
    <xf numFmtId="1" fontId="15" fillId="7" borderId="1" xfId="1" applyNumberFormat="1" applyFont="1" applyFill="1" applyBorder="1" applyAlignment="1" applyProtection="1">
      <alignment horizontal="center" vertical="center"/>
    </xf>
    <xf numFmtId="4" fontId="15" fillId="0" borderId="1" xfId="1" applyNumberFormat="1" applyFont="1" applyBorder="1" applyProtection="1"/>
    <xf numFmtId="1" fontId="15" fillId="7" borderId="3" xfId="1" applyNumberFormat="1" applyFont="1" applyFill="1" applyBorder="1" applyAlignment="1" applyProtection="1">
      <alignment horizontal="center" vertical="center"/>
    </xf>
    <xf numFmtId="1" fontId="14" fillId="4" borderId="9" xfId="1" applyNumberFormat="1" applyFont="1" applyFill="1" applyBorder="1" applyAlignment="1" applyProtection="1">
      <alignment horizontal="center" vertical="center"/>
    </xf>
    <xf numFmtId="0" fontId="12" fillId="3" borderId="0" xfId="0" applyFont="1" applyFill="1" applyAlignment="1">
      <alignment horizontal="center" vertical="center" wrapText="1"/>
    </xf>
    <xf numFmtId="3" fontId="7" fillId="0" borderId="0" xfId="0" applyNumberFormat="1" applyFont="1" applyAlignment="1">
      <alignment horizontal="center" vertical="center"/>
    </xf>
    <xf numFmtId="4" fontId="7" fillId="0" borderId="0" xfId="0" applyNumberFormat="1" applyFont="1" applyAlignment="1">
      <alignment horizontal="center" vertical="center"/>
    </xf>
    <xf numFmtId="44" fontId="13" fillId="0" borderId="11" xfId="4" applyFont="1" applyBorder="1" applyAlignment="1">
      <alignment horizontal="center" wrapText="1"/>
    </xf>
    <xf numFmtId="4" fontId="24" fillId="8" borderId="13" xfId="1" applyNumberFormat="1" applyFont="1" applyFill="1" applyBorder="1" applyAlignment="1">
      <alignment horizontal="center" wrapText="1"/>
    </xf>
    <xf numFmtId="0" fontId="25" fillId="7" borderId="12" xfId="0" applyFont="1" applyFill="1" applyBorder="1" applyAlignment="1">
      <alignment horizontal="center" vertical="center" wrapText="1"/>
    </xf>
    <xf numFmtId="164" fontId="0" fillId="0" borderId="0" xfId="1" applyNumberFormat="1" applyFont="1" applyBorder="1" applyAlignment="1" applyProtection="1">
      <alignment horizontal="center" vertical="center" wrapText="1"/>
    </xf>
    <xf numFmtId="164" fontId="13" fillId="0" borderId="10" xfId="1" applyNumberFormat="1" applyFont="1" applyBorder="1" applyAlignment="1" applyProtection="1">
      <alignment horizontal="center" wrapText="1"/>
    </xf>
    <xf numFmtId="44" fontId="13" fillId="0" borderId="11" xfId="4" applyFont="1" applyBorder="1" applyAlignment="1" applyProtection="1">
      <alignment horizontal="center" wrapText="1"/>
    </xf>
    <xf numFmtId="4" fontId="24" fillId="8" borderId="13" xfId="1" applyNumberFormat="1" applyFont="1" applyFill="1" applyBorder="1" applyAlignment="1" applyProtection="1">
      <alignment horizontal="center" wrapText="1"/>
    </xf>
    <xf numFmtId="0" fontId="26" fillId="0" borderId="0" xfId="0" applyFont="1" applyAlignment="1">
      <alignment horizontal="center" vertical="center"/>
    </xf>
    <xf numFmtId="0" fontId="26" fillId="0" borderId="0" xfId="0" applyFont="1" applyAlignment="1">
      <alignment vertical="center"/>
    </xf>
    <xf numFmtId="2" fontId="26" fillId="0" borderId="0" xfId="0" applyNumberFormat="1" applyFont="1" applyAlignment="1">
      <alignment horizontal="left" vertical="center"/>
    </xf>
    <xf numFmtId="0" fontId="26" fillId="0" borderId="0" xfId="0" applyFont="1" applyAlignment="1">
      <alignment horizontal="right" vertical="center"/>
    </xf>
    <xf numFmtId="3" fontId="26" fillId="0" borderId="1" xfId="0" applyNumberFormat="1" applyFont="1" applyBorder="1" applyAlignment="1">
      <alignment horizontal="center" vertical="center"/>
    </xf>
    <xf numFmtId="164" fontId="26" fillId="7" borderId="1" xfId="0" applyNumberFormat="1" applyFont="1" applyFill="1" applyBorder="1" applyAlignment="1">
      <alignment horizontal="center" vertical="center"/>
    </xf>
    <xf numFmtId="44" fontId="26" fillId="7" borderId="1" xfId="0" applyNumberFormat="1" applyFont="1" applyFill="1" applyBorder="1"/>
    <xf numFmtId="43" fontId="26" fillId="0" borderId="1" xfId="0" applyNumberFormat="1" applyFont="1" applyBorder="1"/>
    <xf numFmtId="3" fontId="26" fillId="0" borderId="3" xfId="0" applyNumberFormat="1" applyFont="1" applyBorder="1" applyAlignment="1">
      <alignment horizontal="center"/>
    </xf>
    <xf numFmtId="44" fontId="26" fillId="7" borderId="3" xfId="0" applyNumberFormat="1" applyFont="1" applyFill="1" applyBorder="1"/>
    <xf numFmtId="43" fontId="26" fillId="0" borderId="3" xfId="0" applyNumberFormat="1" applyFont="1" applyBorder="1"/>
    <xf numFmtId="1" fontId="26" fillId="0" borderId="0" xfId="0" applyNumberFormat="1" applyFont="1" applyAlignment="1">
      <alignment horizontal="right" vertical="center"/>
    </xf>
    <xf numFmtId="1" fontId="26" fillId="0" borderId="0" xfId="0" applyNumberFormat="1" applyFont="1" applyAlignment="1">
      <alignment horizontal="center"/>
    </xf>
    <xf numFmtId="1" fontId="26" fillId="0" borderId="0" xfId="0" applyNumberFormat="1" applyFont="1" applyAlignment="1">
      <alignment horizontal="center" vertical="center"/>
    </xf>
    <xf numFmtId="0" fontId="29" fillId="0" borderId="0" xfId="0" applyFont="1" applyAlignment="1">
      <alignment horizontal="left" vertical="center"/>
    </xf>
    <xf numFmtId="3" fontId="26" fillId="0" borderId="0" xfId="0" applyNumberFormat="1" applyFont="1" applyAlignment="1">
      <alignment horizontal="center" vertical="center"/>
    </xf>
    <xf numFmtId="164" fontId="26" fillId="7" borderId="0" xfId="0" applyNumberFormat="1" applyFont="1" applyFill="1" applyAlignment="1">
      <alignment horizontal="center" vertical="center"/>
    </xf>
    <xf numFmtId="44" fontId="27" fillId="7" borderId="0" xfId="0" applyNumberFormat="1" applyFont="1" applyFill="1"/>
    <xf numFmtId="43" fontId="27" fillId="0" borderId="0" xfId="0" applyNumberFormat="1" applyFont="1"/>
    <xf numFmtId="0" fontId="27" fillId="0" borderId="0" xfId="0" applyFont="1"/>
    <xf numFmtId="43" fontId="26" fillId="0" borderId="0" xfId="0" applyNumberFormat="1" applyFont="1"/>
    <xf numFmtId="1" fontId="26" fillId="7" borderId="0" xfId="0" applyNumberFormat="1" applyFont="1" applyFill="1" applyAlignment="1">
      <alignment horizontal="center" vertical="center"/>
    </xf>
    <xf numFmtId="44" fontId="26" fillId="7" borderId="0" xfId="0" applyNumberFormat="1" applyFont="1" applyFill="1"/>
    <xf numFmtId="0" fontId="30" fillId="0" borderId="1" xfId="0" applyFont="1" applyBorder="1" applyAlignment="1">
      <alignment horizontal="center" vertical="center"/>
    </xf>
    <xf numFmtId="0" fontId="11" fillId="3" borderId="0" xfId="0" applyFont="1" applyFill="1"/>
    <xf numFmtId="8" fontId="15" fillId="0" borderId="1" xfId="4" applyNumberFormat="1" applyFont="1" applyFill="1" applyBorder="1" applyAlignment="1" applyProtection="1">
      <alignment horizontal="left" vertical="center"/>
    </xf>
    <xf numFmtId="0" fontId="12" fillId="5" borderId="3" xfId="0" applyFont="1" applyFill="1" applyBorder="1" applyAlignment="1">
      <alignment horizontal="center" vertical="center" wrapText="1"/>
    </xf>
    <xf numFmtId="0" fontId="21" fillId="5" borderId="0" xfId="0" applyFont="1" applyFill="1" applyAlignment="1">
      <alignment vertical="center" wrapText="1"/>
    </xf>
    <xf numFmtId="165" fontId="16" fillId="4" borderId="9" xfId="1" applyNumberFormat="1" applyFont="1" applyFill="1" applyBorder="1" applyAlignment="1" applyProtection="1">
      <alignment horizontal="center" vertical="center" wrapText="1"/>
    </xf>
    <xf numFmtId="165" fontId="15" fillId="0" borderId="1" xfId="4" applyNumberFormat="1" applyFont="1" applyFill="1" applyBorder="1" applyAlignment="1" applyProtection="1">
      <alignment horizontal="left" vertical="center"/>
    </xf>
    <xf numFmtId="3" fontId="17" fillId="2" borderId="1" xfId="1" applyNumberFormat="1" applyFont="1" applyFill="1" applyBorder="1" applyAlignment="1" applyProtection="1">
      <alignment horizontal="center" vertical="center"/>
      <protection locked="0"/>
    </xf>
    <xf numFmtId="44" fontId="15" fillId="7" borderId="1" xfId="4" applyFont="1" applyFill="1" applyBorder="1" applyAlignment="1" applyProtection="1">
      <alignment horizontal="right" vertical="center"/>
    </xf>
    <xf numFmtId="0" fontId="28" fillId="0" borderId="0" xfId="0" applyFont="1" applyAlignment="1">
      <alignment horizontal="left" vertical="center"/>
    </xf>
    <xf numFmtId="0" fontId="0" fillId="0" borderId="0" xfId="0" applyAlignment="1">
      <alignment horizontal="left" vertical="center"/>
    </xf>
    <xf numFmtId="3" fontId="26" fillId="0" borderId="0" xfId="0" applyNumberFormat="1" applyFont="1" applyAlignment="1">
      <alignment horizontal="center"/>
    </xf>
    <xf numFmtId="164" fontId="26" fillId="7" borderId="0" xfId="0" applyNumberFormat="1" applyFont="1" applyFill="1" applyAlignment="1">
      <alignment horizontal="center"/>
    </xf>
    <xf numFmtId="0" fontId="26" fillId="10" borderId="0" xfId="0" applyFont="1" applyFill="1" applyAlignment="1">
      <alignment vertical="center"/>
    </xf>
    <xf numFmtId="2" fontId="26" fillId="10" borderId="0" xfId="0" applyNumberFormat="1" applyFont="1" applyFill="1" applyAlignment="1">
      <alignment horizontal="left" vertical="center"/>
    </xf>
    <xf numFmtId="0" fontId="26" fillId="10" borderId="0" xfId="0" applyFont="1" applyFill="1" applyAlignment="1">
      <alignment horizontal="right" vertical="center"/>
    </xf>
    <xf numFmtId="3" fontId="26" fillId="10" borderId="0" xfId="0" applyNumberFormat="1" applyFont="1" applyFill="1" applyAlignment="1">
      <alignment horizontal="center"/>
    </xf>
    <xf numFmtId="164" fontId="26" fillId="10" borderId="0" xfId="0" applyNumberFormat="1" applyFont="1" applyFill="1" applyAlignment="1">
      <alignment horizontal="center"/>
    </xf>
    <xf numFmtId="44" fontId="26" fillId="10" borderId="0" xfId="0" applyNumberFormat="1" applyFont="1" applyFill="1"/>
    <xf numFmtId="43" fontId="26" fillId="10" borderId="0" xfId="0" applyNumberFormat="1" applyFont="1" applyFill="1"/>
    <xf numFmtId="0" fontId="12" fillId="10" borderId="1" xfId="0" applyFont="1" applyFill="1" applyBorder="1" applyAlignment="1">
      <alignment horizontal="center" vertical="center" wrapText="1"/>
    </xf>
    <xf numFmtId="0" fontId="12" fillId="10" borderId="1" xfId="0" applyFont="1" applyFill="1" applyBorder="1" applyAlignment="1">
      <alignment horizontal="left" vertical="center" wrapText="1"/>
    </xf>
    <xf numFmtId="0" fontId="12" fillId="10" borderId="3" xfId="0" applyFont="1" applyFill="1" applyBorder="1" applyAlignment="1">
      <alignment horizontal="center" vertical="center" wrapText="1"/>
    </xf>
    <xf numFmtId="1" fontId="26" fillId="7" borderId="0" xfId="0" applyNumberFormat="1" applyFont="1" applyFill="1" applyAlignment="1">
      <alignment horizontal="center"/>
    </xf>
    <xf numFmtId="4" fontId="26" fillId="0" borderId="0" xfId="0" applyNumberFormat="1" applyFont="1"/>
    <xf numFmtId="3" fontId="15" fillId="0" borderId="1" xfId="0" applyNumberFormat="1" applyFont="1" applyBorder="1" applyAlignment="1">
      <alignment horizontal="center" vertical="center"/>
    </xf>
    <xf numFmtId="0" fontId="0" fillId="10" borderId="0" xfId="0" applyFill="1"/>
    <xf numFmtId="0" fontId="23" fillId="10" borderId="0" xfId="0" applyFont="1" applyFill="1" applyAlignment="1">
      <alignment horizontal="right" vertical="center"/>
    </xf>
    <xf numFmtId="3" fontId="8" fillId="10" borderId="0" xfId="0" applyNumberFormat="1" applyFont="1" applyFill="1" applyAlignment="1">
      <alignment horizontal="center" vertical="center"/>
    </xf>
    <xf numFmtId="3" fontId="22" fillId="10" borderId="0" xfId="0" applyNumberFormat="1" applyFont="1" applyFill="1" applyAlignment="1">
      <alignment horizontal="left" vertical="center"/>
    </xf>
    <xf numFmtId="0" fontId="14" fillId="4" borderId="6" xfId="0" applyFont="1" applyFill="1" applyBorder="1" applyAlignment="1">
      <alignment horizontal="left" vertical="center"/>
    </xf>
    <xf numFmtId="0" fontId="15" fillId="0" borderId="1" xfId="0" applyFont="1" applyBorder="1" applyAlignment="1">
      <alignment vertical="center"/>
    </xf>
    <xf numFmtId="1" fontId="15" fillId="0" borderId="1" xfId="0" applyNumberFormat="1" applyFont="1" applyBorder="1" applyAlignment="1">
      <alignment horizontal="center" vertical="center"/>
    </xf>
    <xf numFmtId="166" fontId="15" fillId="0" borderId="3" xfId="4" applyNumberFormat="1" applyFont="1" applyFill="1" applyBorder="1" applyAlignment="1" applyProtection="1">
      <alignment horizontal="left" vertical="center"/>
    </xf>
    <xf numFmtId="3" fontId="14" fillId="0" borderId="3" xfId="1" applyNumberFormat="1" applyFont="1" applyFill="1" applyBorder="1" applyAlignment="1" applyProtection="1">
      <alignment horizontal="center" vertical="center"/>
    </xf>
    <xf numFmtId="3" fontId="14" fillId="4" borderId="9" xfId="1" applyNumberFormat="1" applyFont="1" applyFill="1" applyBorder="1" applyAlignment="1" applyProtection="1">
      <alignment horizontal="center" vertical="center"/>
    </xf>
    <xf numFmtId="3" fontId="14" fillId="4" borderId="3" xfId="1" applyNumberFormat="1" applyFont="1" applyFill="1" applyBorder="1" applyAlignment="1" applyProtection="1">
      <alignment horizontal="center" vertical="center"/>
    </xf>
    <xf numFmtId="3" fontId="14" fillId="0" borderId="1" xfId="0" applyNumberFormat="1" applyFont="1" applyBorder="1" applyAlignment="1">
      <alignment horizontal="center" vertical="center"/>
    </xf>
    <xf numFmtId="0" fontId="33" fillId="0" borderId="0" xfId="0" applyFont="1" applyAlignment="1">
      <alignment horizontal="center"/>
    </xf>
    <xf numFmtId="0" fontId="15" fillId="0" borderId="3" xfId="0" applyFont="1" applyBorder="1" applyAlignment="1">
      <alignment vertical="center"/>
    </xf>
    <xf numFmtId="3" fontId="26" fillId="7" borderId="1" xfId="0" applyNumberFormat="1" applyFont="1" applyFill="1" applyBorder="1" applyAlignment="1">
      <alignment horizontal="center" vertical="center"/>
    </xf>
    <xf numFmtId="3" fontId="34" fillId="0" borderId="0" xfId="0" applyNumberFormat="1" applyFont="1" applyAlignment="1">
      <alignment horizontal="center" vertical="center"/>
    </xf>
    <xf numFmtId="3" fontId="22" fillId="3" borderId="0" xfId="0" applyNumberFormat="1" applyFont="1" applyFill="1" applyAlignment="1">
      <alignment horizontal="center" vertical="center"/>
    </xf>
    <xf numFmtId="1" fontId="21" fillId="5" borderId="0" xfId="0" applyNumberFormat="1" applyFont="1" applyFill="1" applyAlignment="1">
      <alignment horizontal="center" vertical="center"/>
    </xf>
    <xf numFmtId="0" fontId="33" fillId="0" borderId="0" xfId="0" applyFont="1" applyAlignment="1">
      <alignment horizontal="center" vertical="center" wrapText="1"/>
    </xf>
    <xf numFmtId="0" fontId="6" fillId="10" borderId="0" xfId="0" applyFont="1" applyFill="1" applyAlignment="1">
      <alignment vertical="center"/>
    </xf>
    <xf numFmtId="4" fontId="26" fillId="10" borderId="0" xfId="0" applyNumberFormat="1" applyFont="1" applyFill="1"/>
    <xf numFmtId="4" fontId="34" fillId="10" borderId="0" xfId="0" applyNumberFormat="1" applyFont="1" applyFill="1" applyAlignment="1">
      <alignment horizontal="center"/>
    </xf>
    <xf numFmtId="1" fontId="15" fillId="0" borderId="3" xfId="0" applyNumberFormat="1" applyFont="1" applyBorder="1" applyAlignment="1">
      <alignment horizontal="center" vertical="center"/>
    </xf>
    <xf numFmtId="3" fontId="34" fillId="0" borderId="3" xfId="0" applyNumberFormat="1" applyFont="1" applyBorder="1" applyAlignment="1">
      <alignment horizontal="center"/>
    </xf>
    <xf numFmtId="0" fontId="6" fillId="6" borderId="8" xfId="0" applyFont="1" applyFill="1" applyBorder="1" applyAlignment="1">
      <alignment vertical="center"/>
    </xf>
    <xf numFmtId="0" fontId="6" fillId="6" borderId="0" xfId="0" applyFont="1" applyFill="1" applyAlignment="1">
      <alignment vertical="center"/>
    </xf>
    <xf numFmtId="0" fontId="36" fillId="0" borderId="1" xfId="0" applyFont="1" applyBorder="1" applyAlignment="1">
      <alignment horizontal="center" vertical="center"/>
    </xf>
    <xf numFmtId="166" fontId="36" fillId="0" borderId="3" xfId="4" applyNumberFormat="1" applyFont="1" applyFill="1" applyBorder="1" applyAlignment="1" applyProtection="1">
      <alignment horizontal="left" vertical="center"/>
    </xf>
    <xf numFmtId="165" fontId="36" fillId="0" borderId="3" xfId="4" applyNumberFormat="1" applyFont="1" applyFill="1" applyBorder="1" applyAlignment="1" applyProtection="1">
      <alignment horizontal="left" vertical="center"/>
    </xf>
    <xf numFmtId="165" fontId="36" fillId="0" borderId="1" xfId="4" applyNumberFormat="1" applyFont="1" applyBorder="1" applyAlignment="1" applyProtection="1">
      <alignment horizontal="left" vertical="center"/>
    </xf>
    <xf numFmtId="0" fontId="36" fillId="0" borderId="1" xfId="2" applyFont="1" applyBorder="1" applyAlignment="1">
      <alignment horizontal="center" vertical="center"/>
    </xf>
    <xf numFmtId="3" fontId="36" fillId="2" borderId="1" xfId="0" applyNumberFormat="1" applyFont="1" applyFill="1" applyBorder="1" applyAlignment="1" applyProtection="1">
      <alignment horizontal="center" vertical="center"/>
      <protection locked="0"/>
    </xf>
    <xf numFmtId="44" fontId="36" fillId="7" borderId="1" xfId="4" applyFont="1" applyFill="1" applyBorder="1" applyAlignment="1" applyProtection="1">
      <alignment horizontal="right" vertical="center"/>
    </xf>
    <xf numFmtId="43" fontId="36" fillId="0" borderId="1" xfId="1" applyFont="1" applyBorder="1" applyProtection="1"/>
    <xf numFmtId="0" fontId="0" fillId="10" borderId="0" xfId="0" applyFill="1" applyAlignment="1">
      <alignment horizontal="center" vertical="center" wrapText="1"/>
    </xf>
    <xf numFmtId="3" fontId="37" fillId="0" borderId="1" xfId="0" applyNumberFormat="1" applyFont="1" applyBorder="1" applyAlignment="1">
      <alignment horizontal="center" vertical="center"/>
    </xf>
    <xf numFmtId="3" fontId="22" fillId="10" borderId="0" xfId="0" applyNumberFormat="1" applyFont="1" applyFill="1" applyAlignment="1">
      <alignment horizontal="center" vertical="center"/>
    </xf>
    <xf numFmtId="0" fontId="36" fillId="0" borderId="1" xfId="0" applyFont="1" applyBorder="1" applyAlignment="1">
      <alignment vertical="center"/>
    </xf>
    <xf numFmtId="0" fontId="36" fillId="0" borderId="1" xfId="2" applyFont="1" applyBorder="1" applyAlignment="1">
      <alignment horizontal="center"/>
    </xf>
    <xf numFmtId="2" fontId="15" fillId="0" borderId="1" xfId="4" applyNumberFormat="1" applyFont="1" applyBorder="1" applyAlignment="1" applyProtection="1">
      <alignment horizontal="left" vertical="center"/>
    </xf>
    <xf numFmtId="1" fontId="15" fillId="7" borderId="1" xfId="0" applyNumberFormat="1" applyFont="1" applyFill="1" applyBorder="1" applyAlignment="1">
      <alignment horizontal="center" vertical="center"/>
    </xf>
    <xf numFmtId="4" fontId="15" fillId="0" borderId="0" xfId="0" applyNumberFormat="1" applyFont="1"/>
    <xf numFmtId="0" fontId="15" fillId="0" borderId="0" xfId="0" applyFont="1" applyAlignment="1">
      <alignment horizontal="center" vertical="center"/>
    </xf>
    <xf numFmtId="0" fontId="15" fillId="0" borderId="0" xfId="0" applyFont="1" applyAlignment="1">
      <alignment vertical="center"/>
    </xf>
    <xf numFmtId="2" fontId="15" fillId="0" borderId="0" xfId="0" applyNumberFormat="1" applyFont="1" applyAlignment="1">
      <alignment horizontal="left" vertical="center"/>
    </xf>
    <xf numFmtId="0" fontId="15" fillId="0" borderId="0" xfId="0" applyFont="1" applyAlignment="1">
      <alignment horizontal="right" vertical="center"/>
    </xf>
    <xf numFmtId="3" fontId="15" fillId="0" borderId="3" xfId="0" applyNumberFormat="1" applyFont="1" applyBorder="1" applyAlignment="1">
      <alignment horizontal="center"/>
    </xf>
    <xf numFmtId="44" fontId="15" fillId="7" borderId="3" xfId="0" applyNumberFormat="1" applyFont="1" applyFill="1" applyBorder="1"/>
    <xf numFmtId="43" fontId="15" fillId="0" borderId="3" xfId="0" applyNumberFormat="1" applyFont="1" applyBorder="1"/>
    <xf numFmtId="1" fontId="15" fillId="0" borderId="0" xfId="0" applyNumberFormat="1" applyFont="1" applyAlignment="1">
      <alignment horizontal="right" vertical="center"/>
    </xf>
    <xf numFmtId="1" fontId="15" fillId="0" borderId="0" xfId="0" applyNumberFormat="1" applyFont="1" applyAlignment="1">
      <alignment horizontal="center"/>
    </xf>
    <xf numFmtId="1" fontId="15" fillId="7" borderId="3" xfId="0" applyNumberFormat="1" applyFont="1" applyFill="1" applyBorder="1" applyAlignment="1">
      <alignment horizontal="center"/>
    </xf>
    <xf numFmtId="4" fontId="15" fillId="0" borderId="3" xfId="0" applyNumberFormat="1" applyFont="1" applyBorder="1"/>
    <xf numFmtId="1" fontId="15" fillId="0" borderId="0" xfId="0" applyNumberFormat="1" applyFont="1" applyAlignment="1">
      <alignment horizontal="center" vertical="center"/>
    </xf>
    <xf numFmtId="44" fontId="15" fillId="7" borderId="1" xfId="0" applyNumberFormat="1" applyFont="1" applyFill="1" applyBorder="1"/>
    <xf numFmtId="43" fontId="15" fillId="0" borderId="1" xfId="0" applyNumberFormat="1" applyFont="1" applyBorder="1"/>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2" fontId="11" fillId="0" borderId="0" xfId="0" applyNumberFormat="1" applyFont="1" applyAlignment="1">
      <alignment horizontal="center" vertical="center" wrapText="1"/>
    </xf>
    <xf numFmtId="3" fontId="15" fillId="0" borderId="0" xfId="0" applyNumberFormat="1" applyFont="1" applyAlignment="1">
      <alignment horizontal="center" vertical="center"/>
    </xf>
    <xf numFmtId="44" fontId="17" fillId="7" borderId="1" xfId="0" applyNumberFormat="1" applyFont="1" applyFill="1" applyBorder="1"/>
    <xf numFmtId="43" fontId="17" fillId="0" borderId="1" xfId="0" applyNumberFormat="1" applyFont="1" applyBorder="1"/>
    <xf numFmtId="0" fontId="17" fillId="0" borderId="1" xfId="0" applyFont="1" applyBorder="1"/>
    <xf numFmtId="0" fontId="28" fillId="9" borderId="14" xfId="0" applyFont="1" applyFill="1" applyBorder="1" applyAlignment="1">
      <alignment horizontal="left"/>
    </xf>
    <xf numFmtId="0" fontId="28" fillId="9" borderId="0" xfId="0" applyFont="1" applyFill="1" applyAlignment="1">
      <alignment horizontal="right"/>
    </xf>
    <xf numFmtId="0" fontId="9" fillId="9" borderId="18" xfId="0" applyFont="1" applyFill="1" applyBorder="1" applyAlignment="1" applyProtection="1">
      <alignment horizontal="center" wrapText="1"/>
      <protection locked="0"/>
    </xf>
    <xf numFmtId="0" fontId="38" fillId="9" borderId="20" xfId="0" applyFont="1" applyFill="1" applyBorder="1" applyAlignment="1" applyProtection="1">
      <alignment horizontal="center" wrapText="1"/>
      <protection locked="0"/>
    </xf>
    <xf numFmtId="0" fontId="9" fillId="9" borderId="20" xfId="0" applyFont="1" applyFill="1" applyBorder="1" applyAlignment="1" applyProtection="1">
      <alignment horizontal="center" wrapText="1"/>
      <protection locked="0"/>
    </xf>
    <xf numFmtId="0" fontId="9" fillId="9" borderId="19" xfId="0" applyFont="1" applyFill="1" applyBorder="1" applyAlignment="1" applyProtection="1">
      <alignment horizontal="center" wrapText="1"/>
      <protection locked="0"/>
    </xf>
    <xf numFmtId="0" fontId="28" fillId="9" borderId="18" xfId="0" applyFont="1" applyFill="1" applyBorder="1" applyAlignment="1">
      <alignment horizontal="right"/>
    </xf>
    <xf numFmtId="0" fontId="9" fillId="9" borderId="4" xfId="0" applyFont="1" applyFill="1" applyBorder="1" applyAlignment="1">
      <alignment horizontal="center" wrapText="1"/>
    </xf>
    <xf numFmtId="0" fontId="9" fillId="9" borderId="14" xfId="0" applyFont="1" applyFill="1" applyBorder="1" applyAlignment="1">
      <alignment horizontal="center" wrapText="1"/>
    </xf>
    <xf numFmtId="0" fontId="9" fillId="9" borderId="5" xfId="0" applyFont="1" applyFill="1" applyBorder="1" applyAlignment="1">
      <alignment horizontal="center" wrapText="1"/>
    </xf>
    <xf numFmtId="0" fontId="9" fillId="9" borderId="15" xfId="0" applyFont="1" applyFill="1" applyBorder="1" applyAlignment="1">
      <alignment horizontal="center" wrapText="1"/>
    </xf>
    <xf numFmtId="0" fontId="9" fillId="9" borderId="0" xfId="0" applyFont="1" applyFill="1" applyAlignment="1">
      <alignment horizontal="center" wrapText="1"/>
    </xf>
    <xf numFmtId="0" fontId="9" fillId="9" borderId="16" xfId="0" applyFont="1" applyFill="1" applyBorder="1" applyAlignment="1">
      <alignment horizontal="center" wrapText="1"/>
    </xf>
    <xf numFmtId="0" fontId="9" fillId="9" borderId="17" xfId="0" applyFont="1" applyFill="1" applyBorder="1" applyAlignment="1">
      <alignment horizontal="center" wrapText="1"/>
    </xf>
    <xf numFmtId="44" fontId="26" fillId="7" borderId="1" xfId="4" applyFont="1" applyFill="1" applyBorder="1" applyAlignment="1">
      <alignment horizontal="center" vertical="center"/>
    </xf>
    <xf numFmtId="43" fontId="26" fillId="7" borderId="1" xfId="0" applyNumberFormat="1" applyFont="1" applyFill="1" applyBorder="1" applyAlignment="1">
      <alignment horizontal="center" vertical="center"/>
    </xf>
    <xf numFmtId="0" fontId="39" fillId="9" borderId="4" xfId="0" applyFont="1" applyFill="1" applyBorder="1" applyAlignment="1">
      <alignment horizontal="center" wrapText="1"/>
    </xf>
    <xf numFmtId="0" fontId="39" fillId="9" borderId="14" xfId="0" applyFont="1" applyFill="1" applyBorder="1" applyAlignment="1">
      <alignment horizontal="center" wrapText="1"/>
    </xf>
    <xf numFmtId="0" fontId="39" fillId="9" borderId="5" xfId="0" applyFont="1" applyFill="1" applyBorder="1" applyAlignment="1">
      <alignment horizontal="center" wrapText="1"/>
    </xf>
    <xf numFmtId="0" fontId="39" fillId="9" borderId="15" xfId="0" applyFont="1" applyFill="1" applyBorder="1" applyAlignment="1">
      <alignment horizontal="center" wrapText="1"/>
    </xf>
    <xf numFmtId="0" fontId="39" fillId="9" borderId="18" xfId="0" applyFont="1" applyFill="1" applyBorder="1" applyAlignment="1" applyProtection="1">
      <alignment horizontal="center" wrapText="1"/>
      <protection locked="0"/>
    </xf>
    <xf numFmtId="0" fontId="39" fillId="9" borderId="0" xfId="0" applyFont="1" applyFill="1" applyAlignment="1">
      <alignment horizontal="center" wrapText="1"/>
    </xf>
    <xf numFmtId="0" fontId="39" fillId="9" borderId="16" xfId="0" applyFont="1" applyFill="1" applyBorder="1" applyAlignment="1">
      <alignment horizontal="center" wrapText="1"/>
    </xf>
    <xf numFmtId="0" fontId="39" fillId="9" borderId="20" xfId="0" applyFont="1" applyFill="1" applyBorder="1" applyAlignment="1" applyProtection="1">
      <alignment horizontal="center" wrapText="1"/>
      <protection locked="0"/>
    </xf>
    <xf numFmtId="0" fontId="39" fillId="9" borderId="19" xfId="0" applyFont="1" applyFill="1" applyBorder="1" applyAlignment="1" applyProtection="1">
      <alignment horizontal="center" wrapText="1"/>
      <protection locked="0"/>
    </xf>
    <xf numFmtId="0" fontId="39" fillId="9" borderId="17" xfId="0" applyFont="1" applyFill="1" applyBorder="1" applyAlignment="1">
      <alignment horizontal="center" wrapText="1"/>
    </xf>
    <xf numFmtId="0" fontId="39" fillId="9" borderId="18" xfId="0" applyFont="1" applyFill="1" applyBorder="1" applyAlignment="1">
      <alignment horizontal="center" wrapText="1"/>
    </xf>
    <xf numFmtId="0" fontId="39" fillId="9" borderId="19" xfId="0" applyFont="1" applyFill="1" applyBorder="1" applyAlignment="1">
      <alignment horizontal="center" wrapText="1"/>
    </xf>
    <xf numFmtId="0" fontId="15" fillId="0" borderId="3" xfId="2" applyFont="1" applyBorder="1" applyAlignment="1">
      <alignment horizontal="center" vertical="center"/>
    </xf>
    <xf numFmtId="1" fontId="15" fillId="2" borderId="3" xfId="1" applyNumberFormat="1" applyFont="1" applyFill="1" applyBorder="1" applyAlignment="1" applyProtection="1">
      <alignment horizontal="center" vertical="center"/>
      <protection locked="0"/>
    </xf>
    <xf numFmtId="1" fontId="15" fillId="2" borderId="21" xfId="1" applyNumberFormat="1" applyFont="1" applyFill="1" applyBorder="1" applyAlignment="1" applyProtection="1">
      <alignment horizontal="center" vertical="center"/>
      <protection locked="0"/>
    </xf>
    <xf numFmtId="0" fontId="40" fillId="0" borderId="0" xfId="0" applyFont="1"/>
    <xf numFmtId="14" fontId="0" fillId="0" borderId="0" xfId="0" applyNumberFormat="1" applyAlignment="1">
      <alignment horizontal="left"/>
    </xf>
    <xf numFmtId="0" fontId="41" fillId="7" borderId="12" xfId="0" applyFont="1" applyFill="1" applyBorder="1" applyAlignment="1">
      <alignment horizontal="center" vertical="center" wrapText="1"/>
    </xf>
    <xf numFmtId="10" fontId="43" fillId="0" borderId="13" xfId="5" applyNumberFormat="1" applyFont="1" applyFill="1" applyBorder="1" applyAlignment="1">
      <alignment horizontal="center" wrapText="1"/>
    </xf>
    <xf numFmtId="0" fontId="9" fillId="9" borderId="18" xfId="0" applyFont="1" applyFill="1" applyBorder="1" applyAlignment="1" applyProtection="1">
      <alignment horizontal="center" wrapText="1"/>
      <protection locked="0"/>
    </xf>
    <xf numFmtId="0" fontId="9" fillId="9" borderId="19" xfId="0" applyFont="1" applyFill="1" applyBorder="1" applyAlignment="1" applyProtection="1">
      <alignment horizontal="center" wrapText="1"/>
      <protection locked="0"/>
    </xf>
    <xf numFmtId="0" fontId="20" fillId="7" borderId="0" xfId="0" applyFont="1" applyFill="1" applyAlignment="1">
      <alignment horizontal="center" wrapText="1"/>
    </xf>
    <xf numFmtId="0" fontId="42" fillId="7" borderId="22" xfId="0" applyFont="1" applyFill="1" applyBorder="1" applyAlignment="1">
      <alignment horizontal="center" vertical="center" wrapText="1"/>
    </xf>
    <xf numFmtId="0" fontId="42" fillId="7" borderId="23" xfId="0" applyFont="1" applyFill="1" applyBorder="1" applyAlignment="1">
      <alignment horizontal="center" vertical="center" wrapText="1"/>
    </xf>
  </cellXfs>
  <cellStyles count="6">
    <cellStyle name="Comma" xfId="1" builtinId="3"/>
    <cellStyle name="Currency" xfId="4" builtinId="4"/>
    <cellStyle name="Normal" xfId="0" builtinId="0"/>
    <cellStyle name="Normal 2" xfId="3" xr:uid="{00000000-0005-0000-0000-000003000000}"/>
    <cellStyle name="Normal_Alternate Order Forms 15-16" xfId="2" xr:uid="{00000000-0005-0000-0000-000004000000}"/>
    <cellStyle name="Percent" xfId="5" builtinId="5"/>
  </cellStyles>
  <dxfs count="462">
    <dxf>
      <fill>
        <patternFill>
          <bgColor rgb="FFFF000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4" formatCode="#,##0.00"/>
      <alignment horizontal="center" vertical="center" textRotation="0" wrapText="0" indent="0" justifyLastLine="0" shrinkToFit="0" readingOrder="0"/>
      <protection locked="1" hidden="0"/>
    </dxf>
    <dxf>
      <font>
        <b/>
        <sz val="18"/>
      </font>
      <alignment horizontal="center" vertical="center" textRotation="0" wrapText="0" indent="0" justifyLastLine="0" shrinkToFit="0" readingOrder="0"/>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4" formatCode="#,##0.00"/>
      <alignment horizontal="center" vertical="center" textRotation="0" wrapText="0" indent="0" justifyLastLine="0" shrinkToFit="0" readingOrder="0"/>
      <protection locked="1" hidden="0"/>
    </dxf>
    <dxf>
      <font>
        <b/>
        <sz val="18"/>
      </font>
      <alignment horizontal="center" vertical="center" textRotation="0" wrapText="0" indent="0" justifyLastLine="0" shrinkToFit="0" readingOrder="0"/>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4" formatCode="#,##0.00"/>
      <alignment horizontal="center" vertical="center" textRotation="0" wrapText="0" indent="0" justifyLastLine="0" shrinkToFit="0" readingOrder="0"/>
      <protection locked="1" hidden="0"/>
    </dxf>
    <dxf>
      <font>
        <b/>
        <sz val="18"/>
      </font>
      <alignment horizontal="center" vertical="center" textRotation="0" wrapText="0" indent="0" justifyLastLine="0" shrinkToFit="0" readingOrder="0"/>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4" formatCode="#,##0.00"/>
      <alignment horizontal="center" vertical="center" textRotation="0" wrapText="0" indent="0" justifyLastLine="0" shrinkToFit="0" readingOrder="0"/>
      <protection locked="1" hidden="0"/>
    </dxf>
    <dxf>
      <font>
        <b/>
        <sz val="18"/>
      </font>
      <alignment horizontal="center" vertical="center" textRotation="0" wrapText="0" indent="0" justifyLastLine="0" shrinkToFit="0" readingOrder="0"/>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4" formatCode="#,##0.00"/>
      <alignment horizontal="center" vertical="center" textRotation="0" wrapText="0" indent="0" justifyLastLine="0" shrinkToFit="0" readingOrder="0"/>
      <protection locked="1" hidden="0"/>
    </dxf>
    <dxf>
      <font>
        <b/>
        <sz val="18"/>
      </font>
      <alignment horizontal="center" vertical="center" textRotation="0" wrapText="0" indent="0" justifyLastLine="0" shrinkToFit="0" readingOrder="0"/>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3" formatCode="#,##0"/>
      <alignment horizontal="center" vertical="center" textRotation="0" wrapText="0" indent="0" justifyLastLine="0" shrinkToFit="0" readingOrder="0"/>
      <protection locked="1" hidden="0"/>
    </dxf>
    <dxf>
      <font>
        <b/>
        <sz val="18"/>
      </font>
      <numFmt numFmtId="4" formatCode="#,##0.00"/>
      <alignment horizontal="center" vertical="center" textRotation="0" wrapText="0" indent="0" justifyLastLine="0" shrinkToFit="0" readingOrder="0"/>
      <protection locked="1" hidden="0"/>
    </dxf>
    <dxf>
      <font>
        <b/>
        <sz val="18"/>
      </font>
      <alignment horizontal="center" vertical="center" textRotation="0" wrapText="0" indent="0" justifyLastLine="0" shrinkToFit="0" readingOrder="0"/>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dxf>
    <dxf>
      <font>
        <b/>
        <i val="0"/>
        <strike val="0"/>
        <condense val="0"/>
        <extend val="0"/>
        <outline val="0"/>
        <shadow val="0"/>
        <u val="none"/>
        <vertAlign val="baseline"/>
        <sz val="18"/>
        <color theme="1"/>
        <name val="Calibri"/>
        <scheme val="none"/>
      </font>
      <numFmt numFmtId="4" formatCode="#,##0.00"/>
      <alignment horizontal="center" vertical="center" textRotation="0" wrapText="0" indent="0" justifyLastLine="0" shrinkToFit="0" readingOrder="0"/>
      <protection locked="1" hidden="0"/>
    </dxf>
    <dxf>
      <font>
        <b/>
        <i val="0"/>
        <strike val="0"/>
        <condense val="0"/>
        <extend val="0"/>
        <outline val="0"/>
        <shadow val="0"/>
        <u val="none"/>
        <vertAlign val="baseline"/>
        <sz val="18"/>
        <color theme="1"/>
        <name val="Calibri"/>
        <scheme val="none"/>
      </font>
      <numFmt numFmtId="4" formatCode="#,##0.00"/>
      <alignment horizontal="center" vertical="center" textRotation="0" wrapText="0" indent="0" justifyLastLine="0" shrinkToFit="0" readingOrder="0"/>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dxf>
    <dxf>
      <numFmt numFmtId="164" formatCode="_(* #,##0_);_(* \(#,##0\);_(* &quot;-&quot;??_);_(@_)"/>
      <alignment horizontal="center" vertical="center" textRotation="0" wrapText="1" indent="0" justifyLastLine="0" shrinkToFit="0" readingOrder="0"/>
      <protection locked="1" hidden="0"/>
    </dxf>
    <dxf>
      <numFmt numFmtId="164" formatCode="_(* #,##0_);_(* \(#,##0\);_(* &quot;-&quot;??_);_(@_)"/>
      <alignment horizontal="center" vertical="center" textRotation="0" wrapText="1" indent="0" justifyLastLine="0" shrinkToFit="0" readingOrder="0"/>
      <protection locked="1" hidden="0"/>
    </dxf>
    <dxf>
      <numFmt numFmtId="164" formatCode="_(* #,##0_);_(* \(#,##0\);_(* &quot;-&quot;??_);_(@_)"/>
      <alignment horizontal="center" vertical="center" textRotation="0" wrapText="1" indent="0" justifyLastLine="0" shrinkToFit="0" readingOrder="0"/>
      <protection locked="1" hidden="0"/>
    </dxf>
    <dxf>
      <numFmt numFmtId="164" formatCode="_(* #,##0_);_(* \(#,##0\);_(* &quot;-&quot;??_);_(@_)"/>
      <alignment horizontal="center" vertical="center" textRotation="0" wrapText="1" indent="0" justifyLastLine="0" shrinkToFit="0" readingOrder="0"/>
      <protection locked="1" hidden="0"/>
    </dxf>
    <dxf>
      <fill>
        <patternFill patternType="solid">
          <fgColor indexed="64"/>
          <bgColor rgb="FFCF4520"/>
        </patternFill>
      </fill>
      <alignment horizontal="center" vertical="center" textRotation="0" wrapText="1" indent="0" justifyLastLine="0" shrinkToFit="0" readingOrder="0"/>
      <protection locked="1" hidden="0"/>
    </dxf>
    <dxf>
      <numFmt numFmtId="164" formatCode="_(* #,##0_);_(* \(#,##0\);_(* &quot;-&quot;??_);_(@_)"/>
      <alignment horizontal="center" vertical="center" textRotation="0" wrapText="1" indent="0" justifyLastLine="0" shrinkToFit="0" readingOrder="0"/>
      <protection locked="1" hidden="0"/>
    </dxf>
    <dxf>
      <numFmt numFmtId="164" formatCode="_(* #,##0_);_(* \(#,##0\);_(* &quot;-&quot;??_);_(@_)"/>
      <alignment horizontal="center" vertical="center" textRotation="0" wrapText="1" indent="0" justifyLastLine="0" shrinkToFit="0" readingOrder="0"/>
      <protection locked="1" hidden="0"/>
    </dxf>
    <dxf>
      <fill>
        <patternFill patternType="solid">
          <fgColor indexed="64"/>
          <bgColor rgb="FFCF4520"/>
        </patternFill>
      </fill>
      <alignment horizontal="center" vertical="center" textRotation="0" wrapText="1" indent="0" justifyLastLine="0" shrinkToFit="0" readingOrder="0"/>
      <protection locked="1" hidden="0"/>
    </dxf>
    <dxf>
      <numFmt numFmtId="35" formatCode="_(* #,##0.00_);_(* \(#,##0.00\);_(* &quot;-&quot;??_);_(@_)"/>
      <alignment horizontal="center" vertical="center" textRotation="0" wrapText="1" indent="0" justifyLastLine="0" shrinkToFit="0" readingOrder="0"/>
      <protection locked="1" hidden="0"/>
    </dxf>
    <dxf>
      <numFmt numFmtId="35" formatCode="_(* #,##0.00_);_(* \(#,##0.00\);_(* &quot;-&quot;??_);_(@_)"/>
      <alignment horizontal="center" vertical="center" textRotation="0" wrapText="1" indent="0" justifyLastLine="0" shrinkToFit="0" readingOrder="0"/>
      <protection locked="1" hidden="0"/>
    </dxf>
    <dxf>
      <fill>
        <patternFill patternType="solid">
          <fgColor indexed="64"/>
          <bgColor rgb="FFCF4520"/>
        </patternFill>
      </fill>
      <alignment horizontal="center" vertical="center" textRotation="0" wrapText="1" indent="0" justifyLastLine="0" shrinkToFit="0" readingOrder="0"/>
      <protection locked="1" hidden="0"/>
    </dxf>
    <dxf>
      <numFmt numFmtId="164" formatCode="_(* #,##0_);_(* \(#,##0\);_(* &quot;-&quot;??_);_(@_)"/>
      <alignment horizontal="center" vertical="center" textRotation="0" wrapText="1" indent="0" justifyLastLine="0" shrinkToFit="0" readingOrder="0"/>
      <protection locked="1" hidden="0"/>
    </dxf>
    <dxf>
      <numFmt numFmtId="164" formatCode="_(* #,##0_);_(* \(#,##0\);_(* &quot;-&quot;??_);_(@_)"/>
      <alignment horizontal="center" vertical="center" textRotation="0" wrapText="1" indent="0" justifyLastLine="0" shrinkToFit="0" readingOrder="0"/>
      <protection locked="1" hidden="0"/>
    </dxf>
    <dxf>
      <fill>
        <patternFill patternType="solid">
          <fgColor indexed="64"/>
          <bgColor rgb="FFCF4520"/>
        </patternFill>
      </fill>
      <alignment horizontal="center" vertical="center" textRotation="0" wrapText="1" indent="0" justifyLastLine="0" shrinkToFit="0" readingOrder="0"/>
      <protection locked="1" hidden="0"/>
    </dxf>
    <dxf>
      <numFmt numFmtId="164" formatCode="_(* #,##0_);_(* \(#,##0\);_(* &quot;-&quot;??_);_(@_)"/>
      <alignment horizontal="center" vertical="center" textRotation="0" wrapText="1" indent="0" justifyLastLine="0" shrinkToFit="0" readingOrder="0"/>
      <protection locked="1" hidden="0"/>
    </dxf>
    <dxf>
      <numFmt numFmtId="164" formatCode="_(* #,##0_);_(* \(#,##0\);_(* &quot;-&quot;??_);_(@_)"/>
      <alignment horizontal="center" vertical="center" textRotation="0" wrapText="1" indent="0" justifyLastLine="0" shrinkToFit="0" readingOrder="0"/>
      <protection locked="1" hidden="0"/>
    </dxf>
    <dxf>
      <fill>
        <patternFill patternType="solid">
          <fgColor indexed="64"/>
          <bgColor rgb="FFCF4520"/>
        </patternFill>
      </fill>
      <alignment horizontal="center" vertical="center" textRotation="0" wrapText="1" indent="0" justifyLastLine="0" shrinkToFit="0" readingOrder="0"/>
      <protection locked="1" hidden="0"/>
    </dxf>
    <dxf>
      <alignment horizontal="left" vertical="bottom" textRotation="0" wrapText="0" indent="0" justifyLastLine="0" shrinkToFit="0" readingOrder="0"/>
    </dxf>
    <dxf>
      <font>
        <b/>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i val="0"/>
        <strike val="0"/>
        <outline val="0"/>
        <shadow val="0"/>
        <u val="none"/>
        <vertAlign val="baseline"/>
        <sz val="12"/>
        <color auto="1"/>
        <name val="Calibri"/>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4"/>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top style="thin">
          <color rgb="FF000000"/>
        </top>
      </border>
    </dxf>
    <dxf>
      <font>
        <strike val="0"/>
        <outline val="0"/>
        <shadow val="0"/>
        <u val="none"/>
        <vertAlign val="baseline"/>
        <sz val="14"/>
        <color auto="1"/>
        <name val="Calibri"/>
        <scheme val="none"/>
      </font>
      <border diagonalUp="0" diagonalDown="0">
        <left style="thin">
          <color rgb="FF000000"/>
        </left>
        <right style="thin">
          <color rgb="FF000000"/>
        </right>
        <top/>
        <bottom/>
      </border>
      <protection locked="1"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scheme val="none"/>
      </font>
      <protection locked="1" hidden="0"/>
    </dxf>
    <dxf>
      <border>
        <bottom style="thin">
          <color rgb="FF000000"/>
        </bottom>
      </border>
    </dxf>
    <dxf>
      <font>
        <b/>
        <i val="0"/>
        <strike val="0"/>
        <condense val="0"/>
        <extend val="0"/>
        <outline val="0"/>
        <shadow val="0"/>
        <u val="none"/>
        <vertAlign val="baseline"/>
        <sz val="14"/>
        <color theme="0"/>
        <name val="Calibri"/>
        <scheme val="none"/>
      </font>
      <fill>
        <patternFill patternType="solid">
          <fgColor indexed="64"/>
          <bgColor theme="9"/>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auto="1"/>
        <name val="Calibri"/>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2"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4"/>
        <color auto="1"/>
        <name val="Calibri"/>
        <scheme val="none"/>
      </font>
      <border diagonalUp="0" diagonalDown="0">
        <left style="thin">
          <color rgb="FF000000"/>
        </left>
        <right style="thin">
          <color rgb="FF000000"/>
        </right>
        <top/>
        <bottom/>
      </border>
      <protection locked="1" hidden="0"/>
    </dxf>
    <dxf>
      <font>
        <strike val="0"/>
        <outline val="0"/>
        <shadow val="0"/>
        <u val="none"/>
        <vertAlign val="baseline"/>
        <sz val="10"/>
        <color auto="1"/>
        <name val="Calibri"/>
        <scheme val="none"/>
      </font>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auto="1"/>
        <name val="Calibri"/>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dxf>
    <dxf>
      <font>
        <strike val="0"/>
        <outline val="0"/>
        <shadow val="0"/>
        <u val="none"/>
        <vertAlign val="baseline"/>
        <sz val="12"/>
        <color auto="1"/>
        <name val="Calibri"/>
        <family val="2"/>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4"/>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top style="thin">
          <color rgb="FF000000"/>
        </top>
      </border>
    </dxf>
    <dxf>
      <font>
        <strike val="0"/>
        <outline val="0"/>
        <shadow val="0"/>
        <u val="none"/>
        <vertAlign val="baseline"/>
        <sz val="14"/>
        <color auto="1"/>
        <name val="Calibri"/>
        <scheme val="none"/>
      </font>
      <border diagonalUp="0" diagonalDown="0">
        <left style="thin">
          <color rgb="FF000000"/>
        </left>
        <right style="thin">
          <color rgb="FF000000"/>
        </right>
        <top/>
        <bottom/>
      </border>
      <protection locked="1"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scheme val="none"/>
      </font>
      <protection locked="1" hidden="0"/>
    </dxf>
    <dxf>
      <border>
        <bottom style="thin">
          <color rgb="FF000000"/>
        </bottom>
      </border>
    </dxf>
    <dxf>
      <font>
        <b/>
        <i val="0"/>
        <strike val="0"/>
        <condense val="0"/>
        <extend val="0"/>
        <outline val="0"/>
        <shadow val="0"/>
        <u val="none"/>
        <vertAlign val="baseline"/>
        <sz val="14"/>
        <color theme="0"/>
        <name val="Calibri"/>
        <scheme val="none"/>
      </font>
      <fill>
        <patternFill patternType="solid">
          <fgColor indexed="64"/>
          <bgColor rgb="FFEAAA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right" vertical="center" textRotation="0" wrapText="0" indent="0" justifyLastLine="0" shrinkToFit="0" readingOrder="0"/>
    </dxf>
    <dxf>
      <font>
        <strike val="0"/>
        <outline val="0"/>
        <shadow val="0"/>
        <u val="none"/>
        <vertAlign val="baseline"/>
        <sz val="12"/>
        <color auto="1"/>
        <name val="Calibr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4"/>
        <name val="Calibri"/>
        <scheme val="none"/>
      </font>
      <border diagonalUp="0" diagonalDown="0">
        <left style="thin">
          <color rgb="FF000000"/>
        </left>
        <right style="thin">
          <color rgb="FF000000"/>
        </right>
        <top/>
        <bottom/>
      </border>
      <protection locked="1" hidden="0"/>
    </dxf>
    <dxf>
      <font>
        <strike val="0"/>
        <outline val="0"/>
        <shadow val="0"/>
        <u val="none"/>
        <vertAlign val="baseline"/>
        <sz val="10"/>
        <name val="Calibri"/>
        <scheme val="none"/>
      </font>
      <protection locked="1" hidden="0"/>
    </dxf>
    <dxf>
      <font>
        <b/>
        <i val="0"/>
        <strike val="0"/>
        <condense val="0"/>
        <extend val="0"/>
        <outline val="0"/>
        <shadow val="0"/>
        <u val="none"/>
        <vertAlign val="baseline"/>
        <sz val="14"/>
        <color theme="0"/>
        <name val="Calibri"/>
        <scheme val="none"/>
      </font>
      <fill>
        <patternFill patternType="solid">
          <fgColor indexed="64"/>
          <bgColor rgb="FFCC66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numFmt numFmtId="35" formatCode="_(* #,##0.00_);_(* \(#,##0.00\);_(* &quot;-&quot;??_);_(@_)"/>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numFmt numFmtId="35" formatCode="_(* #,##0.00_);_(* \(#,##0.00\);_(*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numFmt numFmtId="35" formatCode="_(* #,##0.00_);_(* \(#,##0.00\);_(* &quot;-&quot;??_);_(@_)"/>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numFmt numFmtId="35" formatCode="_(* #,##0.00_);_(* \(#,##0.00\);_(* &quot;-&quot;??_);_(@_)"/>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34" formatCode="_(&quot;$&quot;* #,##0.00_);_(&quot;$&quot;* \(#,##0.00\);_(&quot;$&quot;* &quot;-&quot;??_);_(@_)"/>
      <fill>
        <patternFill patternType="solid">
          <fgColor indexed="64"/>
          <bgColor theme="0"/>
        </patternFill>
      </fill>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164" formatCode="_(* #,##0_);_(* \(#,##0\);_(* &quot;-&quot;??_);_(@_)"/>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outline val="0"/>
        <shadow val="0"/>
        <u val="none"/>
        <vertAlign val="baseline"/>
        <sz val="12"/>
        <color auto="1"/>
        <name val="Calibri"/>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4"/>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2" formatCode="0.0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6" formatCode="&quot;$&quot;#,##0.00"/>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top style="thin">
          <color rgb="FF000000"/>
        </top>
      </border>
    </dxf>
    <dxf>
      <font>
        <strike val="0"/>
        <outline val="0"/>
        <shadow val="0"/>
        <u val="none"/>
        <vertAlign val="baseline"/>
        <sz val="14"/>
        <color auto="1"/>
        <name val="Calibri"/>
        <scheme val="none"/>
      </font>
      <border diagonalUp="0" diagonalDown="0" outline="0">
        <left style="thin">
          <color rgb="FF000000"/>
        </left>
        <right style="thin">
          <color rgb="FF000000"/>
        </right>
        <top/>
        <bottom/>
      </border>
      <protection locked="1"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scheme val="none"/>
      </font>
      <protection locked="1" hidden="0"/>
    </dxf>
    <dxf>
      <border>
        <bottom style="thin">
          <color rgb="FF000000"/>
        </bottom>
      </border>
    </dxf>
    <dxf>
      <font>
        <b/>
        <i val="0"/>
        <strike val="0"/>
        <condense val="0"/>
        <extend val="0"/>
        <outline val="0"/>
        <shadow val="0"/>
        <u val="none"/>
        <vertAlign val="baseline"/>
        <sz val="14"/>
        <color theme="0"/>
        <name val="Calibri"/>
        <scheme val="none"/>
      </font>
      <fill>
        <patternFill patternType="solid">
          <fgColor indexed="64"/>
          <bgColor theme="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4"/>
        <color auto="1"/>
        <name val="Calibri"/>
        <family val="2"/>
        <scheme val="none"/>
      </font>
      <numFmt numFmtId="35" formatCode="_(* #,##0.00_);_(* \(#,##0.00\);_(* &quot;-&quot;??_);_(@_)"/>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numFmt numFmtId="35" formatCode="_(* #,##0.00_);_(* \(#,##0.00\);_(* &quot;-&quot;??_);_(@_)"/>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numFmt numFmtId="34" formatCode="_(&quot;$&quot;* #,##0.00_);_(&quot;$&quot;* \(#,##0.00\);_(&quot;$&quot;* &quot;-&quot;??_);_(@_)"/>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auto="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2"/>
        <color auto="1"/>
        <name val="Calibri"/>
        <family val="2"/>
        <scheme val="none"/>
      </font>
      <numFmt numFmtId="164" formatCode="_(* #,##0_);_(* \(#,##0\);_(* &quot;-&quot;??_);_(@_)"/>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2" formatCode="0.0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general"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4"/>
        <color auto="1"/>
        <name val="Calibri"/>
        <scheme val="none"/>
      </font>
      <border diagonalUp="0" diagonalDown="0" outline="0">
        <left style="thin">
          <color rgb="FF000000"/>
        </left>
        <right style="thin">
          <color rgb="FF000000"/>
        </right>
        <top/>
        <bottom/>
      </border>
      <protection locked="1" hidden="0"/>
    </dxf>
    <dxf>
      <font>
        <strike val="0"/>
        <outline val="0"/>
        <shadow val="0"/>
        <u val="none"/>
        <vertAlign val="baseline"/>
        <sz val="10"/>
        <color auto="1"/>
        <name val="Calibri"/>
        <scheme val="none"/>
      </font>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numFmt numFmtId="35" formatCode="_(* #,##0.00_);_(* \(#,##0.00\);_(* &quot;-&quot;??_);_(@_)"/>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numFmt numFmtId="35" formatCode="_(* #,##0.00_);_(* \(#,##0.00\);_(*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numFmt numFmtId="35" formatCode="_(* #,##0.00_);_(* \(#,##0.00\);_(* &quot;-&quot;??_);_(@_)"/>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numFmt numFmtId="35" formatCode="_(* #,##0.00_);_(* \(#,##0.00\);_(* &quot;-&quot;??_);_(@_)"/>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34" formatCode="_(&quot;$&quot;* #,##0.00_);_(&quot;$&quot;* \(#,##0.00\);_(&quot;$&quot;* &quot;-&quot;??_);_(@_)"/>
      <fill>
        <patternFill patternType="solid">
          <fgColor indexed="64"/>
          <bgColor theme="0"/>
        </patternFill>
      </fill>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164" formatCode="_(* #,##0_);_(* \(#,##0\);_(* &quot;-&quot;??_);_(@_)"/>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outline val="0"/>
        <shadow val="0"/>
        <u val="none"/>
        <vertAlign val="baseline"/>
        <sz val="12"/>
        <color auto="1"/>
        <name val="Calibri"/>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4"/>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2" formatCode="0.0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general"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top style="thin">
          <color rgb="FF000000"/>
        </top>
      </border>
    </dxf>
    <dxf>
      <font>
        <strike val="0"/>
        <outline val="0"/>
        <shadow val="0"/>
        <u val="none"/>
        <vertAlign val="baseline"/>
        <sz val="14"/>
        <color auto="1"/>
        <name val="Calibri"/>
        <scheme val="none"/>
      </font>
      <border diagonalUp="0" diagonalDown="0" outline="0">
        <left style="thin">
          <color rgb="FF000000"/>
        </left>
        <right style="thin">
          <color rgb="FF000000"/>
        </right>
        <top/>
        <bottom/>
      </border>
      <protection locked="1"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scheme val="none"/>
      </font>
      <protection locked="1" hidden="0"/>
    </dxf>
    <dxf>
      <border>
        <bottom style="thin">
          <color rgb="FF000000"/>
        </bottom>
      </border>
    </dxf>
    <dxf>
      <font>
        <b/>
        <i val="0"/>
        <strike val="0"/>
        <condense val="0"/>
        <extend val="0"/>
        <outline val="0"/>
        <shadow val="0"/>
        <u val="none"/>
        <vertAlign val="baseline"/>
        <sz val="14"/>
        <color theme="0"/>
        <name val="Calibri"/>
        <scheme val="none"/>
      </font>
      <fill>
        <patternFill patternType="solid">
          <fgColor indexed="64"/>
          <bgColor rgb="FFEAAA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numFmt numFmtId="164" formatCode="_(* #,##0_);_(* \(#,##0\);_(* &quot;-&quot;??_);_(@_)"/>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numFmt numFmtId="35" formatCode="_(* #,##0.00_);_(* \(#,##0.00\);_(* &quot;-&quot;??_);_(@_)"/>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none"/>
      </font>
      <numFmt numFmtId="35" formatCode="_(* #,##0.00_);_(* \(#,##0.00\);_(*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auto="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12"/>
        <color auto="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4"/>
        <color auto="1"/>
        <name val="Calibri"/>
        <family val="2"/>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right" vertical="center" textRotation="0" wrapText="0" indent="0" justifyLastLine="0" shrinkToFit="0" readingOrder="0"/>
    </dxf>
    <dxf>
      <font>
        <strike val="0"/>
        <outline val="0"/>
        <shadow val="0"/>
        <u val="none"/>
        <vertAlign val="baseline"/>
        <sz val="12"/>
        <name val="Calibri"/>
        <scheme val="none"/>
      </font>
      <alignment horizont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2" formatCode="0.00"/>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4"/>
        <name val="Calibri"/>
        <scheme val="none"/>
      </font>
      <border diagonalUp="0" diagonalDown="0" outline="0">
        <left style="thin">
          <color rgb="FF000000"/>
        </left>
        <right style="thin">
          <color rgb="FF000000"/>
        </right>
        <top/>
        <bottom/>
      </border>
      <protection locked="1" hidden="0"/>
    </dxf>
    <dxf>
      <font>
        <strike val="0"/>
        <outline val="0"/>
        <shadow val="0"/>
        <u val="none"/>
        <vertAlign val="baseline"/>
        <sz val="10"/>
        <name val="Calibri"/>
        <scheme val="none"/>
      </font>
      <protection locked="1" hidden="0"/>
    </dxf>
    <dxf>
      <font>
        <b/>
        <i val="0"/>
        <strike val="0"/>
        <condense val="0"/>
        <extend val="0"/>
        <outline val="0"/>
        <shadow val="0"/>
        <u val="none"/>
        <vertAlign val="baseline"/>
        <sz val="14"/>
        <color theme="0"/>
        <name val="Calibri"/>
        <scheme val="none"/>
      </font>
      <fill>
        <patternFill patternType="solid">
          <fgColor indexed="64"/>
          <bgColor rgb="FFCC66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2"/>
        <color auto="1"/>
        <name val="Calibri"/>
        <family val="2"/>
        <scheme val="none"/>
      </font>
      <numFmt numFmtId="35" formatCode="_(* #,##0.00_);_(* \(#,##0.00\);_(* &quot;-&quot;??_);_(@_)"/>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numFmt numFmtId="35" formatCode="_(* #,##0.00_);_(* \(#,##0.00\);_(* &quot;-&quot;??_);_(@_)"/>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35" formatCode="_(* #,##0.00_);_(* \(#,##0.00\);_(* &quot;-&quot;??_);_(@_)"/>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numFmt numFmtId="35" formatCode="_(* #,##0.00_);_(* \(#,##0.00\);_(* &quot;-&quot;??_);_(@_)"/>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solid">
          <fgColor indexed="64"/>
          <bgColor theme="0"/>
        </patternFill>
      </fill>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numFmt numFmtId="165" formatCode="&quot;$&quo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outline val="0"/>
        <shadow val="0"/>
        <u val="none"/>
        <vertAlign val="baseline"/>
        <sz val="12"/>
        <color auto="1"/>
        <name val="Calibri"/>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2" formatCode="0.0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6" formatCode="&quot;$&quot;#,##0.00"/>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top style="thin">
          <color rgb="FF000000"/>
        </top>
      </border>
    </dxf>
    <dxf>
      <font>
        <strike val="0"/>
        <outline val="0"/>
        <shadow val="0"/>
        <u val="none"/>
        <vertAlign val="baseline"/>
        <sz val="14"/>
        <color auto="1"/>
        <name val="Calibri"/>
        <scheme val="none"/>
      </font>
      <border diagonalUp="0" diagonalDown="0" outline="0">
        <left style="thin">
          <color rgb="FF000000"/>
        </left>
        <right style="thin">
          <color rgb="FF000000"/>
        </right>
        <top/>
        <bottom/>
      </border>
      <protection locked="1"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scheme val="none"/>
      </font>
      <protection locked="1" hidden="0"/>
    </dxf>
    <dxf>
      <border>
        <bottom style="thin">
          <color rgb="FF000000"/>
        </bottom>
      </border>
    </dxf>
    <dxf>
      <font>
        <b/>
        <i val="0"/>
        <strike val="0"/>
        <condense val="0"/>
        <extend val="0"/>
        <outline val="0"/>
        <shadow val="0"/>
        <u val="none"/>
        <vertAlign val="baseline"/>
        <sz val="14"/>
        <color theme="0"/>
        <name val="Calibri"/>
        <scheme val="none"/>
      </font>
      <fill>
        <patternFill patternType="solid">
          <fgColor indexed="64"/>
          <bgColor theme="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Calibri"/>
        <family val="2"/>
        <scheme val="none"/>
      </font>
      <numFmt numFmtId="35" formatCode="_(* #,##0.00_);_(* \(#,##0.00\);_(* &quot;-&quot;??_);_(@_)"/>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none"/>
      </font>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35" formatCode="_(* #,##0.00_);_(* \(#,##0.00\);_(* &quot;-&quot;??_);_(@_)"/>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none"/>
      </font>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2"/>
        <color auto="1"/>
        <name val="Calibri"/>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4" formatCode="_(* #,##0_);_(* \(#,##0\);_(*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2" formatCode="0.0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4"/>
        <color auto="1"/>
        <name val="Calibri"/>
        <scheme val="none"/>
      </font>
      <border diagonalUp="0" diagonalDown="0" outline="0">
        <left style="thin">
          <color indexed="64"/>
        </left>
        <right style="thin">
          <color indexed="64"/>
        </right>
        <top/>
        <bottom/>
      </border>
      <protection locked="1" hidden="0"/>
    </dxf>
    <dxf>
      <font>
        <strike val="0"/>
        <outline val="0"/>
        <shadow val="0"/>
        <u val="none"/>
        <vertAlign val="baseline"/>
        <sz val="10"/>
        <color auto="1"/>
        <name val="Calibri"/>
        <scheme val="none"/>
      </font>
      <protection locked="1" hidden="0"/>
    </dxf>
    <dxf>
      <font>
        <b/>
        <i val="0"/>
        <strike val="0"/>
        <condense val="0"/>
        <extend val="0"/>
        <outline val="0"/>
        <shadow val="0"/>
        <u val="none"/>
        <vertAlign val="baseline"/>
        <sz val="14"/>
        <color theme="0"/>
        <name val="Calibri"/>
        <scheme val="none"/>
      </font>
      <fill>
        <patternFill patternType="solid">
          <fgColor indexed="64"/>
          <bgColor rgb="FFCF452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2"/>
        <color auto="1"/>
        <name val="Calibri"/>
        <family val="2"/>
        <scheme val="none"/>
      </font>
      <numFmt numFmtId="4" formatCode="#,##0.0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numFmt numFmtId="4" formatCode="#,##0.0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4" formatCode="#,##0.0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numFmt numFmtId="4" formatCode="#,##0.0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solid">
          <fgColor indexed="64"/>
          <bgColor theme="0"/>
        </patternFill>
      </fill>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3" formatCode="#,##0"/>
      <fill>
        <patternFill patternType="solid">
          <fgColor indexed="64"/>
          <bgColor theme="8"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2" formatCode="0.0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top style="thin">
          <color indexed="64"/>
        </top>
      </border>
    </dxf>
    <dxf>
      <font>
        <strike val="0"/>
        <outline val="0"/>
        <shadow val="0"/>
        <u val="none"/>
        <vertAlign val="baseline"/>
        <sz val="14"/>
        <color auto="1"/>
        <name val="Calibri"/>
        <scheme val="none"/>
      </font>
      <border diagonalUp="0" diagonalDown="0" outline="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none"/>
      </font>
      <protection locked="1" hidden="0"/>
    </dxf>
    <dxf>
      <border>
        <bottom style="thin">
          <color indexed="64"/>
        </bottom>
      </border>
    </dxf>
    <dxf>
      <font>
        <b/>
        <i val="0"/>
        <strike val="0"/>
        <condense val="0"/>
        <extend val="0"/>
        <outline val="0"/>
        <shadow val="0"/>
        <u val="none"/>
        <vertAlign val="baseline"/>
        <sz val="14"/>
        <color theme="0"/>
        <name val="Calibri"/>
        <scheme val="none"/>
      </font>
      <fill>
        <patternFill patternType="solid">
          <fgColor indexed="64"/>
          <bgColor rgb="FFEAAA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libri"/>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libri"/>
        <family val="2"/>
        <scheme val="none"/>
      </font>
      <numFmt numFmtId="35" formatCode="_(* #,##0.00_);_(* \(#,##0.00\);_(* &quot;-&quot;??_);_(@_)"/>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numFmt numFmtId="35" formatCode="_(* #,##0.00_);_(* \(#,##0.00\);_(* &quot;-&quot;??_);_(@_)"/>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libri"/>
        <family val="2"/>
        <scheme val="none"/>
      </font>
      <numFmt numFmtId="34" formatCode="_(&quot;$&quot;* #,##0.00_);_(&quot;$&quot;* \(#,##0.00\);_(&quot;$&quot;* &quot;-&quot;??_);_(@_)"/>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ont>
      <numFmt numFmtId="165" formatCode="&quot;$&quot;#.##"/>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ont>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none"/>
      </font>
      <numFmt numFmtId="164" formatCode="_(* #,##0_);_(* \(#,##0\);_(*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right" vertical="center" textRotation="0" wrapText="0" indent="0" justifyLastLine="0" shrinkToFit="0" readingOrder="0"/>
    </dxf>
    <dxf>
      <font>
        <strike val="0"/>
        <outline val="0"/>
        <shadow val="0"/>
        <u val="none"/>
        <vertAlign val="baseline"/>
        <sz val="12"/>
        <name val="Calibri"/>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2" formatCode="0.00"/>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165" formatCode="&quot;$&quo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4"/>
        <name val="Calibri"/>
        <scheme val="none"/>
      </font>
      <border diagonalUp="0" diagonalDown="0" outline="0">
        <left style="thin">
          <color indexed="64"/>
        </left>
        <right style="thin">
          <color indexed="64"/>
        </right>
        <top/>
        <bottom/>
      </border>
      <protection locked="1" hidden="0"/>
    </dxf>
    <dxf>
      <font>
        <strike val="0"/>
        <outline val="0"/>
        <shadow val="0"/>
        <u val="none"/>
        <vertAlign val="baseline"/>
        <sz val="10"/>
        <name val="Calibri"/>
        <scheme val="none"/>
      </font>
      <protection locked="1" hidden="0"/>
    </dxf>
    <dxf>
      <font>
        <b/>
        <i val="0"/>
        <strike val="0"/>
        <condense val="0"/>
        <extend val="0"/>
        <outline val="0"/>
        <shadow val="0"/>
        <u val="none"/>
        <vertAlign val="baseline"/>
        <sz val="14"/>
        <color theme="0"/>
        <name val="Calibri"/>
        <scheme val="none"/>
      </font>
      <fill>
        <patternFill patternType="solid">
          <fgColor indexed="64"/>
          <bgColor rgb="FFCC66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CF4520"/>
      <color rgb="FFF39619"/>
      <color rgb="FFEAAA00"/>
      <color rgb="FFFF5B5B"/>
      <color rgb="FFCC6600"/>
      <color rgb="FFFF7C80"/>
      <color rgb="FFFF5050"/>
      <color rgb="FF623412"/>
      <color rgb="FFEA8F76"/>
      <color rgb="FFECBC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6</xdr:col>
      <xdr:colOff>136071</xdr:colOff>
      <xdr:row>0</xdr:row>
      <xdr:rowOff>110170</xdr:rowOff>
    </xdr:from>
    <xdr:to>
      <xdr:col>16</xdr:col>
      <xdr:colOff>13607</xdr:colOff>
      <xdr:row>10</xdr:row>
      <xdr:rowOff>65314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0325100" y="110170"/>
          <a:ext cx="15444107" cy="2785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u="sng"/>
            <a:t>INSTRUCTIONS</a:t>
          </a:r>
          <a:r>
            <a:rPr lang="en-US" sz="2400"/>
            <a:t>:</a:t>
          </a:r>
        </a:p>
        <a:p>
          <a:pPr lvl="0"/>
          <a:r>
            <a:rPr lang="en-US" sz="1800">
              <a:solidFill>
                <a:schemeClr val="dk1"/>
              </a:solidFill>
              <a:effectLst/>
              <a:latin typeface="+mn-lt"/>
              <a:ea typeface="+mn-ea"/>
              <a:cs typeface="+mn-cs"/>
            </a:rPr>
            <a:t>1. Enter total yearly menu servings required by product in blue column to calculate donated food pounds to be diverted.</a:t>
          </a:r>
        </a:p>
        <a:p>
          <a:pPr lvl="0"/>
          <a:endParaRPr lang="en-US" sz="1800">
            <a:solidFill>
              <a:schemeClr val="dk1"/>
            </a:solidFill>
            <a:effectLst/>
            <a:latin typeface="+mn-lt"/>
            <a:ea typeface="+mn-ea"/>
            <a:cs typeface="+mn-cs"/>
          </a:endParaRPr>
        </a:p>
        <a:p>
          <a:pPr lvl="0"/>
          <a:r>
            <a:rPr lang="en-US" sz="1800">
              <a:solidFill>
                <a:schemeClr val="dk1"/>
              </a:solidFill>
              <a:effectLst/>
              <a:latin typeface="+mn-lt"/>
              <a:ea typeface="+mn-ea"/>
              <a:cs typeface="+mn-cs"/>
            </a:rPr>
            <a:t>2. For all White and all Dark product option please </a:t>
          </a:r>
          <a:r>
            <a:rPr lang="en-US" sz="1800" b="1">
              <a:solidFill>
                <a:schemeClr val="dk1"/>
              </a:solidFill>
              <a:effectLst/>
              <a:latin typeface="+mn-lt"/>
              <a:ea typeface="+mn-ea"/>
              <a:cs typeface="+mn-cs"/>
            </a:rPr>
            <a:t>Enter all White servings first. </a:t>
          </a:r>
        </a:p>
        <a:p>
          <a:pPr lvl="0"/>
          <a:r>
            <a:rPr lang="en-US" sz="1800">
              <a:solidFill>
                <a:schemeClr val="dk1"/>
              </a:solidFill>
              <a:effectLst/>
              <a:latin typeface="+mn-lt"/>
              <a:ea typeface="+mn-ea"/>
              <a:cs typeface="+mn-cs"/>
            </a:rPr>
            <a:t>    The number of all dark servings required to balance White/Dark usage will auto populate in all dark section. </a:t>
          </a:r>
        </a:p>
        <a:p>
          <a:pPr lvl="0"/>
          <a:r>
            <a:rPr lang="en-US" sz="1800" b="1">
              <a:solidFill>
                <a:schemeClr val="dk1"/>
              </a:solidFill>
              <a:effectLst/>
              <a:latin typeface="+mn-lt"/>
              <a:ea typeface="+mn-ea"/>
              <a:cs typeface="+mn-cs"/>
            </a:rPr>
            <a:t>    Select enough Dark servings to achieve zero balance.</a:t>
          </a:r>
        </a:p>
        <a:p>
          <a:pPr lvl="0"/>
          <a:endParaRPr lang="en-US" sz="1800" b="1">
            <a:solidFill>
              <a:schemeClr val="dk1"/>
            </a:solidFill>
            <a:effectLst/>
            <a:latin typeface="+mn-lt"/>
            <a:ea typeface="+mn-ea"/>
            <a:cs typeface="+mn-cs"/>
          </a:endParaRPr>
        </a:p>
        <a:p>
          <a:pPr lvl="0"/>
          <a:r>
            <a:rPr lang="en-US" sz="1800">
              <a:solidFill>
                <a:schemeClr val="dk1"/>
              </a:solidFill>
              <a:effectLst/>
              <a:latin typeface="+mn-lt"/>
              <a:ea typeface="+mn-ea"/>
              <a:cs typeface="+mn-cs"/>
            </a:rPr>
            <a:t>3. White/Dark natural proportion products will independently calculate total White/Dark donated food pounds and total with all White/all Dark</a:t>
          </a:r>
          <a:r>
            <a:rPr lang="en-US" sz="1800" baseline="0">
              <a:solidFill>
                <a:schemeClr val="dk1"/>
              </a:solidFill>
              <a:effectLst/>
              <a:latin typeface="+mn-lt"/>
              <a:ea typeface="+mn-ea"/>
              <a:cs typeface="+mn-cs"/>
            </a:rPr>
            <a:t> </a:t>
          </a:r>
          <a:r>
            <a:rPr lang="en-US" sz="1800">
              <a:solidFill>
                <a:schemeClr val="dk1"/>
              </a:solidFill>
              <a:effectLst/>
              <a:latin typeface="+mn-lt"/>
              <a:ea typeface="+mn-ea"/>
              <a:cs typeface="+mn-cs"/>
            </a:rPr>
            <a:t>products ordered to calculate total donated food pounds required to divert to meet menu servings. </a:t>
          </a:r>
        </a:p>
        <a:p>
          <a:r>
            <a:rPr lang="en-US" sz="1400">
              <a:solidFill>
                <a:schemeClr val="dk1"/>
              </a:solidFill>
              <a:effectLst/>
              <a:latin typeface="+mn-lt"/>
              <a:ea typeface="+mn-ea"/>
              <a:cs typeface="+mn-cs"/>
            </a:rPr>
            <a:t> </a:t>
          </a:r>
        </a:p>
        <a:p>
          <a:pPr algn="l"/>
          <a:endParaRPr lang="en-US" sz="1400"/>
        </a:p>
      </xdr:txBody>
    </xdr:sp>
    <xdr:clientData/>
  </xdr:twoCellAnchor>
  <xdr:twoCellAnchor editAs="absolute">
    <xdr:from>
      <xdr:col>2</xdr:col>
      <xdr:colOff>783131</xdr:colOff>
      <xdr:row>5</xdr:row>
      <xdr:rowOff>130084</xdr:rowOff>
    </xdr:from>
    <xdr:to>
      <xdr:col>3</xdr:col>
      <xdr:colOff>3716929</xdr:colOff>
      <xdr:row>9</xdr:row>
      <xdr:rowOff>130084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391642" y="1551214"/>
          <a:ext cx="3860717"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u="none"/>
            <a:t>Servings Calculator</a:t>
          </a:r>
        </a:p>
        <a:p>
          <a:pPr algn="ctr"/>
          <a:r>
            <a:rPr lang="en-US" sz="2400" b="1"/>
            <a:t>SY 2025 - 2026</a:t>
          </a:r>
        </a:p>
      </xdr:txBody>
    </xdr:sp>
    <xdr:clientData/>
  </xdr:twoCellAnchor>
  <mc:AlternateContent xmlns:mc="http://schemas.openxmlformats.org/markup-compatibility/2006">
    <mc:Choice xmlns:a14="http://schemas.microsoft.com/office/drawing/2010/main" Requires="a14">
      <xdr:twoCellAnchor editAs="absolute">
        <xdr:from>
          <xdr:col>3</xdr:col>
          <xdr:colOff>4136301</xdr:colOff>
          <xdr:row>0</xdr:row>
          <xdr:rowOff>153486</xdr:rowOff>
        </xdr:from>
        <xdr:to>
          <xdr:col>5</xdr:col>
          <xdr:colOff>1145027</xdr:colOff>
          <xdr:row>4</xdr:row>
          <xdr:rowOff>130355</xdr:rowOff>
        </xdr:to>
        <xdr:pic>
          <xdr:nvPicPr>
            <xdr:cNvPr id="8" name="Picture 7" descr="&quot;&quot;">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Dashboard Tables (SERVINGS)'!$E$5:$F$6" spid="_x0000_s9901"/>
                </a:ext>
              </a:extLst>
            </xdr:cNvPicPr>
          </xdr:nvPicPr>
          <xdr:blipFill>
            <a:blip xmlns:r="http://schemas.openxmlformats.org/officeDocument/2006/relationships" r:embed="rId1"/>
            <a:stretch>
              <a:fillRect/>
            </a:stretch>
          </xdr:blipFill>
          <xdr:spPr bwMode="auto">
            <a:xfrm>
              <a:off x="5701122" y="153486"/>
              <a:ext cx="4098048" cy="111986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4136301</xdr:colOff>
          <xdr:row>4</xdr:row>
          <xdr:rowOff>206012</xdr:rowOff>
        </xdr:from>
        <xdr:to>
          <xdr:col>5</xdr:col>
          <xdr:colOff>1165590</xdr:colOff>
          <xdr:row>8</xdr:row>
          <xdr:rowOff>251188</xdr:rowOff>
        </xdr:to>
        <xdr:pic>
          <xdr:nvPicPr>
            <xdr:cNvPr id="10" name="Picture 9" descr="&quot;&quot;">
              <a:extLst>
                <a:ext uri="{FF2B5EF4-FFF2-40B4-BE49-F238E27FC236}">
                  <a16:creationId xmlns:a16="http://schemas.microsoft.com/office/drawing/2014/main" id="{00000000-0008-0000-0000-00000A000000}"/>
                </a:ext>
              </a:extLst>
            </xdr:cNvPr>
            <xdr:cNvPicPr>
              <a:picLocks noChangeAspect="1" noChangeArrowheads="1"/>
              <a:extLst>
                <a:ext uri="{84589F7E-364E-4C9E-8A38-B11213B215E9}">
                  <a14:cameraTool cellRange="'Dashboard Tables (SERVINGS)'!$M$19:$M$20" spid="_x0000_s9902"/>
                </a:ext>
              </a:extLst>
            </xdr:cNvPicPr>
          </xdr:nvPicPr>
          <xdr:blipFill>
            <a:blip xmlns:r="http://schemas.openxmlformats.org/officeDocument/2006/relationships" r:embed="rId2"/>
            <a:srcRect/>
            <a:stretch>
              <a:fillRect/>
            </a:stretch>
          </xdr:blipFill>
          <xdr:spPr bwMode="auto">
            <a:xfrm>
              <a:off x="5701122" y="1349012"/>
              <a:ext cx="4118611" cy="118817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xdr:col>
      <xdr:colOff>857251</xdr:colOff>
      <xdr:row>0</xdr:row>
      <xdr:rowOff>27214</xdr:rowOff>
    </xdr:from>
    <xdr:to>
      <xdr:col>3</xdr:col>
      <xdr:colOff>3522073</xdr:colOff>
      <xdr:row>6</xdr:row>
      <xdr:rowOff>15382</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69572" y="27214"/>
          <a:ext cx="3565071" cy="1691238"/>
        </a:xfrm>
        <a:prstGeom prst="rect">
          <a:avLst/>
        </a:prstGeom>
      </xdr:spPr>
    </xdr:pic>
    <xdr:clientData/>
  </xdr:twoCellAnchor>
  <xdr:twoCellAnchor>
    <xdr:from>
      <xdr:col>3</xdr:col>
      <xdr:colOff>4136301</xdr:colOff>
      <xdr:row>10</xdr:row>
      <xdr:rowOff>175259</xdr:rowOff>
    </xdr:from>
    <xdr:to>
      <xdr:col>6</xdr:col>
      <xdr:colOff>1127216</xdr:colOff>
      <xdr:row>16</xdr:row>
      <xdr:rowOff>1380308</xdr:rowOff>
    </xdr:to>
    <xdr:sp macro="" textlink="">
      <xdr:nvSpPr>
        <xdr:cNvPr id="2" name="TextBox 1">
          <a:extLst>
            <a:ext uri="{FF2B5EF4-FFF2-40B4-BE49-F238E27FC236}">
              <a16:creationId xmlns:a16="http://schemas.microsoft.com/office/drawing/2014/main" id="{6BD381AE-E1E2-4ED4-B9AA-44953276B057}"/>
            </a:ext>
          </a:extLst>
        </xdr:cNvPr>
        <xdr:cNvSpPr txBox="1"/>
      </xdr:nvSpPr>
      <xdr:spPr>
        <a:xfrm>
          <a:off x="5701122" y="3032759"/>
          <a:ext cx="5631451" cy="291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2400" b="1" u="sng"/>
            <a:t>Maximize</a:t>
          </a:r>
          <a:r>
            <a:rPr lang="en-US" sz="2400" b="1" u="sng" baseline="0"/>
            <a:t> your Commodity Entitlement</a:t>
          </a:r>
          <a:endParaRPr lang="en-US" sz="1800">
            <a:solidFill>
              <a:schemeClr val="dk1"/>
            </a:solidFill>
            <a:effectLst/>
            <a:latin typeface="+mn-lt"/>
            <a:ea typeface="+mn-ea"/>
            <a:cs typeface="+mn-cs"/>
          </a:endParaRPr>
        </a:p>
        <a:p>
          <a:pPr lvl="0"/>
          <a:r>
            <a:rPr lang="en-US" sz="2000">
              <a:solidFill>
                <a:schemeClr val="dk1"/>
              </a:solidFill>
              <a:effectLst/>
              <a:latin typeface="+mn-lt"/>
              <a:ea typeface="+mn-ea"/>
              <a:cs typeface="+mn-cs"/>
            </a:rPr>
            <a:t>Rich Chicks offers a class</a:t>
          </a:r>
          <a:r>
            <a:rPr lang="en-US" sz="2000" baseline="0">
              <a:solidFill>
                <a:schemeClr val="dk1"/>
              </a:solidFill>
              <a:effectLst/>
              <a:latin typeface="+mn-lt"/>
              <a:ea typeface="+mn-ea"/>
              <a:cs typeface="+mn-cs"/>
            </a:rPr>
            <a:t> leading White/Dark ratio of 69% white meat and 31% dark meat.</a:t>
          </a:r>
        </a:p>
        <a:p>
          <a:pPr lvl="0"/>
          <a:endParaRPr lang="en-US" sz="2000" baseline="0">
            <a:solidFill>
              <a:schemeClr val="dk1"/>
            </a:solidFill>
            <a:effectLst/>
            <a:latin typeface="+mn-lt"/>
            <a:ea typeface="+mn-ea"/>
            <a:cs typeface="+mn-cs"/>
          </a:endParaRPr>
        </a:p>
        <a:p>
          <a:pPr lvl="0"/>
          <a:r>
            <a:rPr lang="en-US" sz="2000" baseline="0">
              <a:solidFill>
                <a:schemeClr val="dk1"/>
              </a:solidFill>
              <a:effectLst/>
              <a:latin typeface="+mn-lt"/>
              <a:ea typeface="+mn-ea"/>
              <a:cs typeface="+mn-cs"/>
            </a:rPr>
            <a:t>Our Commodity Calculator does the math for you, simply enter your White Meat servings first and the Calculator will indicate the needed servings of dark meat options to balance your diversion. </a:t>
          </a:r>
          <a:r>
            <a:rPr lang="en-US" sz="1600">
              <a:solidFill>
                <a:schemeClr val="dk1"/>
              </a:solidFill>
              <a:effectLst/>
              <a:latin typeface="+mn-lt"/>
              <a:ea typeface="+mn-ea"/>
              <a:cs typeface="+mn-cs"/>
            </a:rPr>
            <a:t> </a:t>
          </a:r>
        </a:p>
        <a:p>
          <a:pPr algn="l"/>
          <a:endParaRPr lang="en-US" sz="1400"/>
        </a:p>
      </xdr:txBody>
    </xdr:sp>
    <xdr:clientData/>
  </xdr:twoCellAnchor>
  <mc:AlternateContent xmlns:mc="http://schemas.openxmlformats.org/markup-compatibility/2006">
    <mc:Choice xmlns:a14="http://schemas.microsoft.com/office/drawing/2010/main" Requires="a14">
      <xdr:twoCellAnchor editAs="oneCell">
        <xdr:from>
          <xdr:col>1</xdr:col>
          <xdr:colOff>618035</xdr:colOff>
          <xdr:row>10</xdr:row>
          <xdr:rowOff>171449</xdr:rowOff>
        </xdr:from>
        <xdr:to>
          <xdr:col>3</xdr:col>
          <xdr:colOff>3941267</xdr:colOff>
          <xdr:row>16</xdr:row>
          <xdr:rowOff>668926</xdr:rowOff>
        </xdr:to>
        <xdr:pic>
          <xdr:nvPicPr>
            <xdr:cNvPr id="6" name="Picture 5">
              <a:extLst>
                <a:ext uri="{FF2B5EF4-FFF2-40B4-BE49-F238E27FC236}">
                  <a16:creationId xmlns:a16="http://schemas.microsoft.com/office/drawing/2014/main" id="{C7BD69A5-D2F0-3E43-2C67-E0D1EC9FD95A}"/>
                </a:ext>
              </a:extLst>
            </xdr:cNvPr>
            <xdr:cNvPicPr>
              <a:picLocks noChangeAspect="1" noChangeArrowheads="1"/>
              <a:extLst>
                <a:ext uri="{84589F7E-364E-4C9E-8A38-B11213B215E9}">
                  <a14:cameraTool cellRange="'Dashboard Tables (SERVINGS)'!$O$23:$P$25" spid="_x0000_s9903"/>
                </a:ext>
              </a:extLst>
            </xdr:cNvPicPr>
          </xdr:nvPicPr>
          <xdr:blipFill>
            <a:blip xmlns:r="http://schemas.openxmlformats.org/officeDocument/2006/relationships" r:embed="rId4"/>
            <a:srcRect/>
            <a:stretch>
              <a:fillRect/>
            </a:stretch>
          </xdr:blipFill>
          <xdr:spPr bwMode="auto">
            <a:xfrm>
              <a:off x="618035" y="3028949"/>
              <a:ext cx="4891863" cy="220816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345126</xdr:colOff>
      <xdr:row>0</xdr:row>
      <xdr:rowOff>13608</xdr:rowOff>
    </xdr:from>
    <xdr:to>
      <xdr:col>13</xdr:col>
      <xdr:colOff>1088571</xdr:colOff>
      <xdr:row>10</xdr:row>
      <xdr:rowOff>105048</xdr:rowOff>
    </xdr:to>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10550483" y="13608"/>
          <a:ext cx="11887695" cy="2948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u="sng"/>
            <a:t>INSTRUCTIONS</a:t>
          </a:r>
          <a:r>
            <a:rPr lang="en-US" sz="2400"/>
            <a:t>:</a:t>
          </a:r>
        </a:p>
        <a:p>
          <a:pPr lvl="0"/>
          <a:endParaRPr lang="en-US" sz="1600">
            <a:solidFill>
              <a:schemeClr val="dk1"/>
            </a:solidFill>
            <a:effectLst/>
            <a:latin typeface="+mn-lt"/>
            <a:ea typeface="+mn-ea"/>
            <a:cs typeface="+mn-cs"/>
          </a:endParaRPr>
        </a:p>
        <a:p>
          <a:pPr lvl="0"/>
          <a:r>
            <a:rPr lang="en-US" sz="1600">
              <a:solidFill>
                <a:schemeClr val="dk1"/>
              </a:solidFill>
              <a:effectLst/>
              <a:latin typeface="+mn-lt"/>
              <a:ea typeface="+mn-ea"/>
              <a:cs typeface="+mn-cs"/>
            </a:rPr>
            <a:t>1.  Enter total cases required to meet yearly menu requirements by item in the blue column. The calculator will provide total servings and donated food pounds by item. </a:t>
          </a:r>
        </a:p>
        <a:p>
          <a:pPr lvl="0"/>
          <a:endParaRPr lang="en-US" sz="1600">
            <a:solidFill>
              <a:schemeClr val="dk1"/>
            </a:solidFill>
            <a:effectLst/>
            <a:latin typeface="+mn-lt"/>
            <a:ea typeface="+mn-ea"/>
            <a:cs typeface="+mn-cs"/>
          </a:endParaRPr>
        </a:p>
        <a:p>
          <a:pPr lvl="0"/>
          <a:r>
            <a:rPr lang="en-US" sz="1600">
              <a:solidFill>
                <a:schemeClr val="dk1"/>
              </a:solidFill>
              <a:effectLst/>
              <a:latin typeface="+mn-lt"/>
              <a:ea typeface="+mn-ea"/>
              <a:cs typeface="+mn-cs"/>
            </a:rPr>
            <a:t>2.  For all White and all Dark product option enter required </a:t>
          </a:r>
          <a:r>
            <a:rPr lang="en-US" sz="1600" b="1">
              <a:solidFill>
                <a:schemeClr val="dk1"/>
              </a:solidFill>
              <a:effectLst/>
              <a:latin typeface="+mn-lt"/>
              <a:ea typeface="+mn-ea"/>
              <a:cs typeface="+mn-cs"/>
            </a:rPr>
            <a:t>all White cases first. </a:t>
          </a:r>
          <a:r>
            <a:rPr lang="en-US" sz="1600">
              <a:solidFill>
                <a:schemeClr val="dk1"/>
              </a:solidFill>
              <a:effectLst/>
              <a:latin typeface="+mn-lt"/>
              <a:ea typeface="+mn-ea"/>
              <a:cs typeface="+mn-cs"/>
            </a:rPr>
            <a:t>The number of all dark cases required to balance all White/all Dark usage will auto populate in all dark section. RA can choose any product combinations to achieve </a:t>
          </a:r>
          <a:r>
            <a:rPr lang="en-US" sz="1600" b="1">
              <a:solidFill>
                <a:schemeClr val="dk1"/>
              </a:solidFill>
              <a:effectLst/>
              <a:latin typeface="+mn-lt"/>
              <a:ea typeface="+mn-ea"/>
              <a:cs typeface="+mn-cs"/>
            </a:rPr>
            <a:t>0 case balance</a:t>
          </a:r>
          <a:r>
            <a:rPr lang="en-US" sz="1600">
              <a:solidFill>
                <a:schemeClr val="dk1"/>
              </a:solidFill>
              <a:effectLst/>
              <a:latin typeface="+mn-lt"/>
              <a:ea typeface="+mn-ea"/>
              <a:cs typeface="+mn-cs"/>
            </a:rPr>
            <a:t>. </a:t>
          </a:r>
        </a:p>
        <a:p>
          <a:pPr lvl="0"/>
          <a:endParaRPr lang="en-US" sz="1600">
            <a:solidFill>
              <a:schemeClr val="dk1"/>
            </a:solidFill>
            <a:effectLst/>
            <a:latin typeface="+mn-lt"/>
            <a:ea typeface="+mn-ea"/>
            <a:cs typeface="+mn-cs"/>
          </a:endParaRPr>
        </a:p>
        <a:p>
          <a:pPr lvl="0"/>
          <a:r>
            <a:rPr lang="en-US" sz="1600">
              <a:solidFill>
                <a:schemeClr val="dk1"/>
              </a:solidFill>
              <a:effectLst/>
              <a:latin typeface="+mn-lt"/>
              <a:ea typeface="+mn-ea"/>
              <a:cs typeface="+mn-cs"/>
            </a:rPr>
            <a:t>3.  The White/Dark natural proportion cases will independently calculate total White/Dark pounds and total with all White/all Dark products ordered to calculate total donated food pounds required to meet total menu servings. </a:t>
          </a:r>
        </a:p>
        <a:p>
          <a:pPr algn="l"/>
          <a:endParaRPr lang="en-US" sz="1400"/>
        </a:p>
      </xdr:txBody>
    </xdr:sp>
    <xdr:clientData/>
  </xdr:twoCellAnchor>
  <xdr:twoCellAnchor editAs="absolute">
    <xdr:from>
      <xdr:col>2</xdr:col>
      <xdr:colOff>783131</xdr:colOff>
      <xdr:row>5</xdr:row>
      <xdr:rowOff>131084</xdr:rowOff>
    </xdr:from>
    <xdr:to>
      <xdr:col>3</xdr:col>
      <xdr:colOff>3716929</xdr:colOff>
      <xdr:row>9</xdr:row>
      <xdr:rowOff>17689</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391642" y="1552214"/>
          <a:ext cx="3860717" cy="104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a:t>Cases Calculator</a:t>
          </a:r>
        </a:p>
        <a:p>
          <a:pPr algn="ctr"/>
          <a:r>
            <a:rPr lang="en-US" sz="2400" b="1"/>
            <a:t>SY 2025 - 2026</a:t>
          </a:r>
        </a:p>
      </xdr:txBody>
    </xdr:sp>
    <xdr:clientData/>
  </xdr:twoCellAnchor>
  <mc:AlternateContent xmlns:mc="http://schemas.openxmlformats.org/markup-compatibility/2006">
    <mc:Choice xmlns:a14="http://schemas.microsoft.com/office/drawing/2010/main" Requires="a14">
      <xdr:twoCellAnchor editAs="absolute">
        <xdr:from>
          <xdr:col>3</xdr:col>
          <xdr:colOff>4041321</xdr:colOff>
          <xdr:row>0</xdr:row>
          <xdr:rowOff>250073</xdr:rowOff>
        </xdr:from>
        <xdr:to>
          <xdr:col>5</xdr:col>
          <xdr:colOff>1048512</xdr:colOff>
          <xdr:row>4</xdr:row>
          <xdr:rowOff>249487</xdr:rowOff>
        </xdr:to>
        <xdr:pic>
          <xdr:nvPicPr>
            <xdr:cNvPr id="12" name="Picture 11" descr="&quot;&quot;">
              <a:extLst>
                <a:ext uri="{FF2B5EF4-FFF2-40B4-BE49-F238E27FC236}">
                  <a16:creationId xmlns:a16="http://schemas.microsoft.com/office/drawing/2014/main" id="{00000000-0008-0000-0100-00000C000000}"/>
                </a:ext>
              </a:extLst>
            </xdr:cNvPr>
            <xdr:cNvPicPr>
              <a:picLocks noChangeAspect="1" noChangeArrowheads="1"/>
              <a:extLst>
                <a:ext uri="{84589F7E-364E-4C9E-8A38-B11213B215E9}">
                  <a14:cameraTool cellRange="'Dashboard Tables (DF POUNDS)'!$E$5:$F$6" spid="_x0000_s14449"/>
                </a:ext>
              </a:extLst>
            </xdr:cNvPicPr>
          </xdr:nvPicPr>
          <xdr:blipFill>
            <a:blip xmlns:r="http://schemas.openxmlformats.org/officeDocument/2006/relationships" r:embed="rId1"/>
            <a:stretch>
              <a:fillRect/>
            </a:stretch>
          </xdr:blipFill>
          <xdr:spPr bwMode="auto">
            <a:xfrm>
              <a:off x="5606142" y="246263"/>
              <a:ext cx="4100323" cy="11424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4041321</xdr:colOff>
          <xdr:row>5</xdr:row>
          <xdr:rowOff>22733</xdr:rowOff>
        </xdr:from>
        <xdr:to>
          <xdr:col>5</xdr:col>
          <xdr:colOff>1085850</xdr:colOff>
          <xdr:row>9</xdr:row>
          <xdr:rowOff>57023</xdr:rowOff>
        </xdr:to>
        <xdr:pic>
          <xdr:nvPicPr>
            <xdr:cNvPr id="9" name="Picture 8" descr="&quot;&quot;">
              <a:extLst>
                <a:ext uri="{FF2B5EF4-FFF2-40B4-BE49-F238E27FC236}">
                  <a16:creationId xmlns:a16="http://schemas.microsoft.com/office/drawing/2014/main" id="{00000000-0008-0000-0100-000009000000}"/>
                </a:ext>
              </a:extLst>
            </xdr:cNvPr>
            <xdr:cNvPicPr>
              <a:picLocks noChangeAspect="1" noChangeArrowheads="1"/>
              <a:extLst>
                <a:ext uri="{84589F7E-364E-4C9E-8A38-B11213B215E9}">
                  <a14:cameraTool cellRange="'Dashboard Tables (DF POUNDS)'!$N$23:$N$24" spid="_x0000_s14450"/>
                </a:ext>
              </a:extLst>
            </xdr:cNvPicPr>
          </xdr:nvPicPr>
          <xdr:blipFill>
            <a:blip xmlns:r="http://schemas.openxmlformats.org/officeDocument/2006/relationships" r:embed="rId2"/>
            <a:srcRect/>
            <a:stretch>
              <a:fillRect/>
            </a:stretch>
          </xdr:blipFill>
          <xdr:spPr bwMode="auto">
            <a:xfrm>
              <a:off x="5606142" y="1447673"/>
              <a:ext cx="4120516" cy="118491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xdr:col>
      <xdr:colOff>885826</xdr:colOff>
      <xdr:row>0</xdr:row>
      <xdr:rowOff>0</xdr:rowOff>
    </xdr:from>
    <xdr:to>
      <xdr:col>3</xdr:col>
      <xdr:colOff>3520441</xdr:colOff>
      <xdr:row>6</xdr:row>
      <xdr:rowOff>20864</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95426" y="0"/>
          <a:ext cx="3543300" cy="1722029"/>
        </a:xfrm>
        <a:prstGeom prst="rect">
          <a:avLst/>
        </a:prstGeom>
      </xdr:spPr>
    </xdr:pic>
    <xdr:clientData/>
  </xdr:twoCellAnchor>
  <xdr:twoCellAnchor>
    <xdr:from>
      <xdr:col>3</xdr:col>
      <xdr:colOff>4041321</xdr:colOff>
      <xdr:row>10</xdr:row>
      <xdr:rowOff>48442</xdr:rowOff>
    </xdr:from>
    <xdr:to>
      <xdr:col>6</xdr:col>
      <xdr:colOff>1039856</xdr:colOff>
      <xdr:row>16</xdr:row>
      <xdr:rowOff>1047750</xdr:rowOff>
    </xdr:to>
    <xdr:sp macro="" textlink="">
      <xdr:nvSpPr>
        <xdr:cNvPr id="2" name="TextBox 1">
          <a:extLst>
            <a:ext uri="{FF2B5EF4-FFF2-40B4-BE49-F238E27FC236}">
              <a16:creationId xmlns:a16="http://schemas.microsoft.com/office/drawing/2014/main" id="{EDABFFAE-A662-48DC-8036-5391E066B0B6}"/>
            </a:ext>
          </a:extLst>
        </xdr:cNvPr>
        <xdr:cNvSpPr txBox="1"/>
      </xdr:nvSpPr>
      <xdr:spPr>
        <a:xfrm>
          <a:off x="5606142" y="2905942"/>
          <a:ext cx="5639071" cy="2713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2400" b="1" u="sng"/>
            <a:t>Maximize</a:t>
          </a:r>
          <a:r>
            <a:rPr lang="en-US" sz="2400" b="1" u="sng" baseline="0"/>
            <a:t> your Commodity Entitlement</a:t>
          </a:r>
          <a:endParaRPr lang="en-US" sz="1800">
            <a:solidFill>
              <a:schemeClr val="dk1"/>
            </a:solidFill>
            <a:effectLst/>
            <a:latin typeface="+mn-lt"/>
            <a:ea typeface="+mn-ea"/>
            <a:cs typeface="+mn-cs"/>
          </a:endParaRPr>
        </a:p>
        <a:p>
          <a:pPr lvl="0"/>
          <a:r>
            <a:rPr lang="en-US" sz="2000">
              <a:solidFill>
                <a:schemeClr val="dk1"/>
              </a:solidFill>
              <a:effectLst/>
              <a:latin typeface="+mn-lt"/>
              <a:ea typeface="+mn-ea"/>
              <a:cs typeface="+mn-cs"/>
            </a:rPr>
            <a:t>Rich Chicks offers a class</a:t>
          </a:r>
          <a:r>
            <a:rPr lang="en-US" sz="2000" baseline="0">
              <a:solidFill>
                <a:schemeClr val="dk1"/>
              </a:solidFill>
              <a:effectLst/>
              <a:latin typeface="+mn-lt"/>
              <a:ea typeface="+mn-ea"/>
              <a:cs typeface="+mn-cs"/>
            </a:rPr>
            <a:t> leading White/Dark ratio of 69% white meat and 31% dark meat.</a:t>
          </a:r>
        </a:p>
        <a:p>
          <a:pPr lvl="0"/>
          <a:endParaRPr lang="en-US" sz="2000" baseline="0">
            <a:solidFill>
              <a:schemeClr val="dk1"/>
            </a:solidFill>
            <a:effectLst/>
            <a:latin typeface="+mn-lt"/>
            <a:ea typeface="+mn-ea"/>
            <a:cs typeface="+mn-cs"/>
          </a:endParaRPr>
        </a:p>
        <a:p>
          <a:pPr lvl="0"/>
          <a:r>
            <a:rPr lang="en-US" sz="2000" baseline="0">
              <a:solidFill>
                <a:schemeClr val="dk1"/>
              </a:solidFill>
              <a:effectLst/>
              <a:latin typeface="+mn-lt"/>
              <a:ea typeface="+mn-ea"/>
              <a:cs typeface="+mn-cs"/>
            </a:rPr>
            <a:t>Our Commodity Calculator does the math for you, simply enter your White Meat cases first and the Calculator will indicate the needed cases of dark meat options to balance your diversion. </a:t>
          </a:r>
          <a:r>
            <a:rPr lang="en-US" sz="1600">
              <a:solidFill>
                <a:schemeClr val="dk1"/>
              </a:solidFill>
              <a:effectLst/>
              <a:latin typeface="+mn-lt"/>
              <a:ea typeface="+mn-ea"/>
              <a:cs typeface="+mn-cs"/>
            </a:rPr>
            <a:t> </a:t>
          </a:r>
        </a:p>
        <a:p>
          <a:pPr algn="l"/>
          <a:endParaRPr lang="en-US" sz="1400"/>
        </a:p>
      </xdr:txBody>
    </xdr:sp>
    <xdr:clientData/>
  </xdr:twoCellAnchor>
  <mc:AlternateContent xmlns:mc="http://schemas.openxmlformats.org/markup-compatibility/2006">
    <mc:Choice xmlns:a14="http://schemas.microsoft.com/office/drawing/2010/main" Requires="a14">
      <xdr:twoCellAnchor editAs="oneCell">
        <xdr:from>
          <xdr:col>2</xdr:col>
          <xdr:colOff>15781</xdr:colOff>
          <xdr:row>10</xdr:row>
          <xdr:rowOff>48442</xdr:rowOff>
        </xdr:from>
        <xdr:to>
          <xdr:col>3</xdr:col>
          <xdr:colOff>3902094</xdr:colOff>
          <xdr:row>16</xdr:row>
          <xdr:rowOff>528502</xdr:rowOff>
        </xdr:to>
        <xdr:pic>
          <xdr:nvPicPr>
            <xdr:cNvPr id="4" name="Picture 3">
              <a:extLst>
                <a:ext uri="{FF2B5EF4-FFF2-40B4-BE49-F238E27FC236}">
                  <a16:creationId xmlns:a16="http://schemas.microsoft.com/office/drawing/2014/main" id="{27EC8715-F6C2-12AF-6397-4796B3A0C4E9}"/>
                </a:ext>
              </a:extLst>
            </xdr:cNvPr>
            <xdr:cNvPicPr>
              <a:picLocks noChangeAspect="1" noChangeArrowheads="1"/>
              <a:extLst>
                <a:ext uri="{84589F7E-364E-4C9E-8A38-B11213B215E9}">
                  <a14:cameraTool cellRange="'Dashboard Tables (DF POUNDS)'!$P$26:$Q$28" spid="_x0000_s14451"/>
                </a:ext>
              </a:extLst>
            </xdr:cNvPicPr>
          </xdr:nvPicPr>
          <xdr:blipFill>
            <a:blip xmlns:r="http://schemas.openxmlformats.org/officeDocument/2006/relationships" r:embed="rId4"/>
            <a:stretch>
              <a:fillRect/>
            </a:stretch>
          </xdr:blipFill>
          <xdr:spPr bwMode="auto">
            <a:xfrm>
              <a:off x="628102" y="2905942"/>
              <a:ext cx="4797992" cy="219456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4504765</xdr:colOff>
      <xdr:row>0</xdr:row>
      <xdr:rowOff>110170</xdr:rowOff>
    </xdr:from>
    <xdr:to>
      <xdr:col>16</xdr:col>
      <xdr:colOff>13607</xdr:colOff>
      <xdr:row>8</xdr:row>
      <xdr:rowOff>156882</xdr:rowOff>
    </xdr:to>
    <xdr:sp macro="" textlink="">
      <xdr:nvSpPr>
        <xdr:cNvPr id="2" name="TextBox 1">
          <a:extLst>
            <a:ext uri="{FF2B5EF4-FFF2-40B4-BE49-F238E27FC236}">
              <a16:creationId xmlns:a16="http://schemas.microsoft.com/office/drawing/2014/main" id="{88DF593A-2F0B-45FB-A27C-F5D483D9B3DF}"/>
            </a:ext>
          </a:extLst>
        </xdr:cNvPr>
        <xdr:cNvSpPr txBox="1"/>
      </xdr:nvSpPr>
      <xdr:spPr>
        <a:xfrm>
          <a:off x="6019240" y="110170"/>
          <a:ext cx="10625017" cy="2332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200" b="1" u="sng"/>
            <a:t>INSTRUCTIONS</a:t>
          </a:r>
          <a:r>
            <a:rPr lang="en-US" sz="3200"/>
            <a:t>:</a:t>
          </a:r>
        </a:p>
        <a:p>
          <a:pPr lvl="0"/>
          <a:r>
            <a:rPr lang="en-US" sz="2400">
              <a:solidFill>
                <a:schemeClr val="dk1"/>
              </a:solidFill>
              <a:effectLst/>
              <a:latin typeface="+mn-lt"/>
              <a:ea typeface="+mn-ea"/>
              <a:cs typeface="+mn-cs"/>
            </a:rPr>
            <a:t>1. </a:t>
          </a:r>
          <a:r>
            <a:rPr lang="en-US" sz="2400" b="1">
              <a:solidFill>
                <a:schemeClr val="dk1"/>
              </a:solidFill>
              <a:effectLst/>
              <a:latin typeface="+mn-lt"/>
              <a:ea typeface="+mn-ea"/>
              <a:cs typeface="+mn-cs"/>
            </a:rPr>
            <a:t>'Cases to Add to</a:t>
          </a:r>
          <a:r>
            <a:rPr lang="en-US" sz="2400" b="1" baseline="0">
              <a:solidFill>
                <a:schemeClr val="dk1"/>
              </a:solidFill>
              <a:effectLst/>
              <a:latin typeface="+mn-lt"/>
              <a:ea typeface="+mn-ea"/>
              <a:cs typeface="+mn-cs"/>
            </a:rPr>
            <a:t> Monthly Planner' </a:t>
          </a:r>
          <a:r>
            <a:rPr lang="en-US" sz="2400" baseline="0">
              <a:solidFill>
                <a:schemeClr val="dk1"/>
              </a:solidFill>
              <a:effectLst/>
              <a:latin typeface="+mn-lt"/>
              <a:ea typeface="+mn-ea"/>
              <a:cs typeface="+mn-cs"/>
            </a:rPr>
            <a:t>shows total cases diverted from other tab.</a:t>
          </a:r>
          <a:endParaRPr lang="en-US" sz="2400">
            <a:solidFill>
              <a:schemeClr val="dk1"/>
            </a:solidFill>
            <a:effectLst/>
            <a:latin typeface="+mn-lt"/>
            <a:ea typeface="+mn-ea"/>
            <a:cs typeface="+mn-cs"/>
          </a:endParaRPr>
        </a:p>
        <a:p>
          <a:pPr lvl="0"/>
          <a:endParaRPr lang="en-US" sz="2400">
            <a:solidFill>
              <a:schemeClr val="dk1"/>
            </a:solidFill>
            <a:effectLst/>
            <a:latin typeface="+mn-lt"/>
            <a:ea typeface="+mn-ea"/>
            <a:cs typeface="+mn-cs"/>
          </a:endParaRPr>
        </a:p>
        <a:p>
          <a:pPr lvl="0"/>
          <a:r>
            <a:rPr lang="en-US" sz="2400">
              <a:solidFill>
                <a:schemeClr val="dk1"/>
              </a:solidFill>
              <a:effectLst/>
              <a:latin typeface="+mn-lt"/>
              <a:ea typeface="+mn-ea"/>
              <a:cs typeface="+mn-cs"/>
            </a:rPr>
            <a:t>2. </a:t>
          </a:r>
          <a:r>
            <a:rPr lang="en-US" sz="2400" b="1">
              <a:solidFill>
                <a:schemeClr val="dk1"/>
              </a:solidFill>
              <a:effectLst/>
              <a:latin typeface="+mn-lt"/>
              <a:ea typeface="+mn-ea"/>
              <a:cs typeface="+mn-cs"/>
            </a:rPr>
            <a:t>Enter</a:t>
          </a:r>
          <a:r>
            <a:rPr lang="en-US" sz="2400">
              <a:solidFill>
                <a:schemeClr val="dk1"/>
              </a:solidFill>
              <a:effectLst/>
              <a:latin typeface="+mn-lt"/>
              <a:ea typeface="+mn-ea"/>
              <a:cs typeface="+mn-cs"/>
            </a:rPr>
            <a:t> the cases by month</a:t>
          </a:r>
          <a:r>
            <a:rPr lang="en-US" sz="2400" baseline="0">
              <a:solidFill>
                <a:schemeClr val="dk1"/>
              </a:solidFill>
              <a:effectLst/>
              <a:latin typeface="+mn-lt"/>
              <a:ea typeface="+mn-ea"/>
              <a:cs typeface="+mn-cs"/>
            </a:rPr>
            <a:t> until </a:t>
          </a:r>
          <a:r>
            <a:rPr lang="en-US" sz="2400" b="1" baseline="0">
              <a:solidFill>
                <a:schemeClr val="dk1"/>
              </a:solidFill>
              <a:effectLst/>
              <a:latin typeface="+mn-lt"/>
              <a:ea typeface="+mn-ea"/>
              <a:cs typeface="+mn-cs"/>
            </a:rPr>
            <a:t>'Cases to Add to Monthly Planner' is zero.</a:t>
          </a:r>
          <a:endParaRPr lang="en-US" sz="2400" b="1">
            <a:solidFill>
              <a:schemeClr val="dk1"/>
            </a:solidFill>
            <a:effectLst/>
            <a:latin typeface="+mn-lt"/>
            <a:ea typeface="+mn-ea"/>
            <a:cs typeface="+mn-cs"/>
          </a:endParaRPr>
        </a:p>
        <a:p>
          <a:pPr lvl="0"/>
          <a:endParaRPr lang="en-US" sz="1800">
            <a:solidFill>
              <a:schemeClr val="dk1"/>
            </a:solidFill>
            <a:effectLst/>
            <a:latin typeface="+mn-lt"/>
            <a:ea typeface="+mn-ea"/>
            <a:cs typeface="+mn-cs"/>
          </a:endParaRPr>
        </a:p>
        <a:p>
          <a:r>
            <a:rPr lang="en-US" sz="1400">
              <a:solidFill>
                <a:schemeClr val="dk1"/>
              </a:solidFill>
              <a:effectLst/>
              <a:latin typeface="+mn-lt"/>
              <a:ea typeface="+mn-ea"/>
              <a:cs typeface="+mn-cs"/>
            </a:rPr>
            <a:t> </a:t>
          </a:r>
        </a:p>
        <a:p>
          <a:pPr algn="l"/>
          <a:endParaRPr lang="en-US" sz="1400"/>
        </a:p>
      </xdr:txBody>
    </xdr:sp>
    <xdr:clientData/>
  </xdr:twoCellAnchor>
  <xdr:twoCellAnchor editAs="absolute">
    <xdr:from>
      <xdr:col>2</xdr:col>
      <xdr:colOff>803669</xdr:colOff>
      <xdr:row>5</xdr:row>
      <xdr:rowOff>133894</xdr:rowOff>
    </xdr:from>
    <xdr:to>
      <xdr:col>3</xdr:col>
      <xdr:colOff>3752900</xdr:colOff>
      <xdr:row>9</xdr:row>
      <xdr:rowOff>56798</xdr:rowOff>
    </xdr:to>
    <xdr:sp macro="" textlink="">
      <xdr:nvSpPr>
        <xdr:cNvPr id="3" name="TextBox 2">
          <a:extLst>
            <a:ext uri="{FF2B5EF4-FFF2-40B4-BE49-F238E27FC236}">
              <a16:creationId xmlns:a16="http://schemas.microsoft.com/office/drawing/2014/main" id="{56BAF974-A859-4FB7-BCC1-FF16D3273422}"/>
            </a:ext>
          </a:extLst>
        </xdr:cNvPr>
        <xdr:cNvSpPr txBox="1"/>
      </xdr:nvSpPr>
      <xdr:spPr>
        <a:xfrm>
          <a:off x="1388921" y="1551214"/>
          <a:ext cx="3853913"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u="none"/>
            <a:t>Monthly Planner</a:t>
          </a:r>
        </a:p>
        <a:p>
          <a:pPr algn="ctr"/>
          <a:r>
            <a:rPr lang="en-US" sz="2400" b="1"/>
            <a:t>SY 2025 - 2026</a:t>
          </a:r>
        </a:p>
      </xdr:txBody>
    </xdr:sp>
    <xdr:clientData/>
  </xdr:twoCellAnchor>
  <xdr:twoCellAnchor editAs="oneCell">
    <xdr:from>
      <xdr:col>2</xdr:col>
      <xdr:colOff>857251</xdr:colOff>
      <xdr:row>0</xdr:row>
      <xdr:rowOff>27214</xdr:rowOff>
    </xdr:from>
    <xdr:to>
      <xdr:col>3</xdr:col>
      <xdr:colOff>3508738</xdr:colOff>
      <xdr:row>6</xdr:row>
      <xdr:rowOff>19192</xdr:rowOff>
    </xdr:to>
    <xdr:pic>
      <xdr:nvPicPr>
        <xdr:cNvPr id="4" name="Picture 3">
          <a:extLst>
            <a:ext uri="{FF2B5EF4-FFF2-40B4-BE49-F238E27FC236}">
              <a16:creationId xmlns:a16="http://schemas.microsoft.com/office/drawing/2014/main" id="{F00249F2-69D4-48C0-80BC-38A4421D8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851" y="27214"/>
          <a:ext cx="3558267" cy="169123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le419" displayName="Table419" ref="C19:P37" totalsRowCount="1" headerRowDxfId="461" dataDxfId="460" totalsRowDxfId="459">
  <autoFilter ref="C19:P36"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sortState xmlns:xlrd2="http://schemas.microsoft.com/office/spreadsheetml/2017/richdata2" ref="C20:L36">
    <sortCondition ref="C19:C36"/>
  </sortState>
  <tableColumns count="14">
    <tableColumn id="1" xr3:uid="{00000000-0010-0000-0000-000001000000}" name="Item Code" dataDxfId="458" totalsRowDxfId="457"/>
    <tableColumn id="2" xr3:uid="{00000000-0010-0000-0000-000002000000}" name="Product Description" dataDxfId="456" totalsRowDxfId="455"/>
    <tableColumn id="8" xr3:uid="{00000000-0010-0000-0000-000008000000}" name="DF $ Value Per Case" dataDxfId="454" totalsRowDxfId="453"/>
    <tableColumn id="10" xr3:uid="{00000000-0010-0000-0000-00000A000000}" name="DF Pounds White Per Case" dataDxfId="452" totalsRowDxfId="451" dataCellStyle="Currency"/>
    <tableColumn id="11" xr3:uid="{00000000-0010-0000-0000-00000B000000}" name="DF Pounds Dark Per Case" dataDxfId="450" totalsRowDxfId="449" dataCellStyle="Currency"/>
    <tableColumn id="3" xr3:uid="{00000000-0010-0000-0000-000003000000}" name="Avg. Wt. Per Serving" dataDxfId="448" totalsRowDxfId="447"/>
    <tableColumn id="5" xr3:uid="{00000000-0010-0000-0000-000005000000}" name="Avg. Servings Per Case" dataDxfId="446" totalsRowDxfId="445" dataCellStyle="Normal_Alternate Order Forms 15-16"/>
    <tableColumn id="14" xr3:uid="{00000000-0010-0000-0000-00000E000000}" name="Servings Needed" dataDxfId="444" totalsRowDxfId="443" dataCellStyle="Normal_Alternate Order Forms 15-16"/>
    <tableColumn id="13" xr3:uid="{00000000-0010-0000-0000-00000D000000}" name="Svg. Rounded by Case" dataDxfId="442" totalsRowDxfId="441" dataCellStyle="Comma">
      <calculatedColumnFormula>MROUND(Table419[[#This Row],[Servings Needed]],80)</calculatedColumnFormula>
    </tableColumn>
    <tableColumn id="15" xr3:uid="{00000000-0010-0000-0000-00000F000000}" name="Finished Cases" totalsRowFunction="sum" dataDxfId="440" totalsRowDxfId="439" dataCellStyle="Comma">
      <calculatedColumnFormula>Table419[[#This Row],[Svg. Rounded by Case]]/Table419[[#This Row],[Avg. Servings Per Case]]</calculatedColumnFormula>
    </tableColumn>
    <tableColumn id="6" xr3:uid="{00000000-0010-0000-0000-000006000000}" name="Total Servings" totalsRowFunction="sum" dataDxfId="438" totalsRowDxfId="437" dataCellStyle="Comma">
      <calculatedColumnFormula>#REF!*Table419[[#This Row],[Avg. Servings Per Case]]</calculatedColumnFormula>
    </tableColumn>
    <tableColumn id="4" xr3:uid="{00000000-0010-0000-0000-000004000000}" name="DF $ Value" totalsRowFunction="sum" dataDxfId="436" totalsRowDxfId="435">
      <calculatedColumnFormula>Table419[[#This Row],[Finished Cases]]*Table419[[#This Row],[DF $ Value Per Case]]</calculatedColumnFormula>
    </tableColumn>
    <tableColumn id="9" xr3:uid="{00000000-0010-0000-0000-000009000000}" name="DF Pounds WHITE" totalsRowFunction="sum" dataDxfId="434" totalsRowDxfId="433">
      <calculatedColumnFormula>Table419[[#This Row],[Finished Cases]]*20.5</calculatedColumnFormula>
    </tableColumn>
    <tableColumn id="12" xr3:uid="{00000000-0010-0000-0000-00000C000000}" name="DF Pounds DARK" dataDxfId="432" totalsRowDxfId="431"/>
  </tableColumns>
  <tableStyleInfo name="TableStyleLight9" showFirstColumn="0" showLastColumn="0" showRowStripes="1" showColumnStripes="0"/>
  <extLst>
    <ext xmlns:x14="http://schemas.microsoft.com/office/spreadsheetml/2009/9/main" uri="{504A1905-F514-4f6f-8877-14C23A59335A}">
      <x14:table altText="White Meat Only Products TABL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CBCB39A-1952-453B-B5D5-84A295255D14}" name="Table52019" displayName="Table52019" ref="C43:S51" totalsRowCount="1" headerRowDxfId="180" dataDxfId="178" totalsRowDxfId="176" headerRowBorderDxfId="179" tableBorderDxfId="177" totalsRowBorderDxfId="175">
  <autoFilter ref="C43:S50"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sortState xmlns:xlrd2="http://schemas.microsoft.com/office/spreadsheetml/2017/richdata2" ref="C44:S50">
    <sortCondition ref="C43:C50"/>
  </sortState>
  <tableColumns count="17">
    <tableColumn id="1" xr3:uid="{9A093B82-0BAF-441A-8AB5-F2CC0ADBD184}" name="Item Code" dataDxfId="174" totalsRowDxfId="173"/>
    <tableColumn id="2" xr3:uid="{48BB4F92-1695-4E75-AF79-766AE54A4381}" name="Product Description" dataDxfId="172" totalsRowDxfId="171"/>
    <tableColumn id="4" xr3:uid="{522ACD1D-FD58-4155-B931-8C1276AF8362}" name="Avg. Servings Per Case" dataDxfId="170" totalsRowDxfId="169" dataCellStyle="Normal_Alternate Order Forms 15-16"/>
    <tableColumn id="3" xr3:uid="{76568790-F874-42C4-BD63-B1B2F547DEFE}" name="Cases to Add to Monthly Planner" dataDxfId="168" totalsRowDxfId="167">
      <calculatedColumnFormula>SUM('Servings to DF Pounds'!L53,'Cases to DF Pounds'!J53-Table52019[[#This Row],[Total Cases]])</calculatedColumnFormula>
    </tableColumn>
    <tableColumn id="5" xr3:uid="{3F14ACD8-1C72-458A-B83E-BCB7EBCFFE34}" name="Jul" totalsRowFunction="sum" dataDxfId="166" totalsRowDxfId="165" dataCellStyle="Comma"/>
    <tableColumn id="6" xr3:uid="{07395D19-17AF-416E-9FE6-351CCF241973}" name="Aug" totalsRowFunction="sum" dataDxfId="164" totalsRowDxfId="163" dataCellStyle="Comma"/>
    <tableColumn id="7" xr3:uid="{A2E31DA6-EA2C-4C84-A339-A2F2EC6A5F44}" name="Sep" totalsRowFunction="sum" dataDxfId="162" totalsRowDxfId="161" dataCellStyle="Comma"/>
    <tableColumn id="8" xr3:uid="{29E22161-924D-4F4E-BC0F-3E809394A54A}" name="Oct" totalsRowFunction="sum" dataDxfId="160" totalsRowDxfId="159" dataCellStyle="Comma"/>
    <tableColumn id="9" xr3:uid="{09A44D40-0B93-4EDA-A89C-EBBC3B9C3ECA}" name="Nov" totalsRowFunction="sum" dataDxfId="158" totalsRowDxfId="157" dataCellStyle="Comma"/>
    <tableColumn id="10" xr3:uid="{3A01E573-CE12-473A-A7F1-5A5DBCE7F223}" name="Dec" totalsRowFunction="sum" dataDxfId="156" totalsRowDxfId="155" dataCellStyle="Comma"/>
    <tableColumn id="11" xr3:uid="{5FFE3A71-9CCB-49CF-9467-3203DEE67846}" name="Jan" totalsRowFunction="sum" dataDxfId="154" totalsRowDxfId="153" dataCellStyle="Comma"/>
    <tableColumn id="13" xr3:uid="{69D5C4E9-F5DD-4FA1-A30B-4CA331EA81AB}" name="Feb" totalsRowFunction="sum" dataDxfId="152" totalsRowDxfId="151" dataCellStyle="Comma"/>
    <tableColumn id="16" xr3:uid="{717F60B1-4869-4E0D-8731-DD4224C8BF78}" name="Mar" totalsRowFunction="sum" dataDxfId="150" totalsRowDxfId="149" dataCellStyle="Comma"/>
    <tableColumn id="17" xr3:uid="{57D80B62-72A5-4449-A2B2-ED2EFBA53FAD}" name="Apr" totalsRowFunction="sum" dataDxfId="148" totalsRowDxfId="147" dataCellStyle="Comma"/>
    <tableColumn id="18" xr3:uid="{AE9D3A57-4F44-427E-9368-B84526700AB8}" name="May" totalsRowFunction="sum" dataDxfId="146" totalsRowDxfId="145" dataCellStyle="Comma"/>
    <tableColumn id="19" xr3:uid="{DE292D27-7E48-4E20-AD9C-E721B9EED5E4}" name="Jun" totalsRowFunction="sum" dataDxfId="144" totalsRowDxfId="143" dataCellStyle="Comma"/>
    <tableColumn id="15" xr3:uid="{FBDDC973-ED05-4D9D-BB49-1DB1F85491A3}" name="Total Cases" totalsRowFunction="sum" dataDxfId="142" totalsRowDxfId="141" dataCellStyle="Comma">
      <calculatedColumnFormula>SUM(Table52019[[#This Row],[Jul]:[Jun]])</calculatedColumnFormula>
    </tableColumn>
  </tableColumns>
  <tableStyleInfo name="TableStyleLight9" showFirstColumn="0" showLastColumn="0" showRowStripes="1" showColumnStripes="0"/>
  <extLst>
    <ext xmlns:x14="http://schemas.microsoft.com/office/spreadsheetml/2009/9/main" uri="{504A1905-F514-4f6f-8877-14C23A59335A}">
      <x14:table altText="White-Dark Meat Product Table"/>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76FF768-CAEA-4345-9476-3DB2E3705F1E}" name="Table5202220" displayName="Table5202220" ref="C33:S40" totalsRowCount="1" headerRowDxfId="140" dataDxfId="139" totalsRowDxfId="138">
  <autoFilter ref="C33:S39"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910B2A74-510D-4BC2-9103-277705605B08}" name="Item Code" dataDxfId="137" totalsRowDxfId="136"/>
    <tableColumn id="2" xr3:uid="{A29A6DD4-DA30-475A-86AC-F8AE4A55E8BC}" name="Product Description" dataDxfId="135" totalsRowDxfId="134"/>
    <tableColumn id="4" xr3:uid="{5742DC62-10F2-4281-BF90-B494811A1688}" name="Avg. Servings Per Case" dataDxfId="133" totalsRowDxfId="132" dataCellStyle="Normal_Alternate Order Forms 15-16"/>
    <tableColumn id="3" xr3:uid="{F503F654-6804-496A-B16F-E6855D324CD6}" name="Cases to Add to Monthly Planner" dataDxfId="131" totalsRowDxfId="130" dataCellStyle="Normal_Alternate Order Forms 15-16">
      <calculatedColumnFormula>SUM('Servings to DF Pounds'!L42,'Cases to DF Pounds'!J42)-Table5202220[[#This Row],[Total Cases]]</calculatedColumnFormula>
    </tableColumn>
    <tableColumn id="5" xr3:uid="{93CAEF98-5938-435E-B4A1-A8F174E670F5}" name="Jul" totalsRowFunction="sum" dataDxfId="129" totalsRowDxfId="128" dataCellStyle="Comma"/>
    <tableColumn id="6" xr3:uid="{C66EAF10-2060-461C-A427-BD2F3FD24E52}" name="Aug" totalsRowFunction="sum" dataDxfId="127" totalsRowDxfId="126" dataCellStyle="Comma"/>
    <tableColumn id="7" xr3:uid="{1F497806-4EE8-4219-9AF0-5D50BF47F024}" name="Sep" totalsRowFunction="sum" dataDxfId="125" totalsRowDxfId="124" dataCellStyle="Comma"/>
    <tableColumn id="8" xr3:uid="{8D41E3F4-A7BC-4B61-B909-491FED4B0A5E}" name="Oct" totalsRowFunction="sum" dataDxfId="123" totalsRowDxfId="122" dataCellStyle="Comma"/>
    <tableColumn id="9" xr3:uid="{B11B7ACD-4DBB-4132-AD42-DD0231C84207}" name="Nov" totalsRowFunction="sum" dataDxfId="121" totalsRowDxfId="120" dataCellStyle="Comma"/>
    <tableColumn id="10" xr3:uid="{AB359FE0-7E4C-4D4B-87BA-E9A5FCD05079}" name="Dec" totalsRowFunction="sum" dataDxfId="119" totalsRowDxfId="118" dataCellStyle="Comma"/>
    <tableColumn id="11" xr3:uid="{B1D6E30C-FE22-4B70-9EAE-E8F13ED5AABB}" name="Jan" totalsRowFunction="sum" dataDxfId="117" totalsRowDxfId="116" dataCellStyle="Comma"/>
    <tableColumn id="12" xr3:uid="{2C11A60F-98B0-4C2F-A3F9-F0060CBBEF8D}" name="Feb" totalsRowFunction="sum" dataDxfId="115" totalsRowDxfId="114" dataCellStyle="Comma"/>
    <tableColumn id="16" xr3:uid="{7D5F6853-5AEA-4065-BBB8-ADCB79C924C1}" name="Mar" totalsRowFunction="sum" dataDxfId="113" totalsRowDxfId="112" dataCellStyle="Comma"/>
    <tableColumn id="17" xr3:uid="{F750817A-E510-4B2C-8BD4-884DC9E592ED}" name="Apr" totalsRowFunction="sum" dataDxfId="111" totalsRowDxfId="110" dataCellStyle="Comma"/>
    <tableColumn id="18" xr3:uid="{DA4FF5F9-2DFD-4109-AB2D-437D2CA8F070}" name="May" totalsRowFunction="sum" dataDxfId="109" totalsRowDxfId="108" dataCellStyle="Comma"/>
    <tableColumn id="19" xr3:uid="{42CE3BF2-9D2C-47A8-9FBD-427D88178849}" name="Jun" totalsRowFunction="sum" dataDxfId="107" totalsRowDxfId="106" dataCellStyle="Comma"/>
    <tableColumn id="15" xr3:uid="{D6DD4613-0909-4436-9C63-EDE5F3D533F1}" name="Total Cases" totalsRowFunction="sum" dataDxfId="105" totalsRowDxfId="104" dataCellStyle="Comma">
      <calculatedColumnFormula>SUM(Table5202220[[#This Row],[Jul]:[Jun]])</calculatedColumnFormula>
    </tableColumn>
  </tableColumns>
  <tableStyleInfo name="TableStyleLight9" showFirstColumn="0" showLastColumn="0" showRowStripes="1" showColumnStripes="0"/>
  <extLst>
    <ext xmlns:x14="http://schemas.microsoft.com/office/spreadsheetml/2009/9/main" uri="{504A1905-F514-4f6f-8877-14C23A59335A}">
      <x14:table altText="Dark Meat only Product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0BF19DC-D6B2-40F8-A853-01EDE1F0C738}" name="Table52025121321" displayName="Table52025121321" ref="C54:S64" totalsRowCount="1" headerRowDxfId="103" dataDxfId="101" totalsRowDxfId="99" headerRowBorderDxfId="102" tableBorderDxfId="100" totalsRowBorderDxfId="98">
  <sortState xmlns:xlrd2="http://schemas.microsoft.com/office/spreadsheetml/2017/richdata2" ref="C55:S59">
    <sortCondition ref="C43:C50"/>
  </sortState>
  <tableColumns count="17">
    <tableColumn id="1" xr3:uid="{84DEBF15-C13F-41B9-828E-31C099A8C10D}" name="Item Code" dataDxfId="97" totalsRowDxfId="96"/>
    <tableColumn id="2" xr3:uid="{32E56FC6-BBCF-4756-9F55-F41690D90D27}" name="Product Description" dataDxfId="95" totalsRowDxfId="94"/>
    <tableColumn id="4" xr3:uid="{DA76DAAB-02B5-4BEF-B4D7-6109E4E14BBE}" name="Avg. Servings Per Case" dataDxfId="93" totalsRowDxfId="92" dataCellStyle="Normal_Alternate Order Forms 15-16"/>
    <tableColumn id="3" xr3:uid="{6C444F15-F6A0-478F-B409-FD3ACD72D7B8}" name="Cases to Add to Monthly Planner" dataDxfId="91" totalsRowDxfId="90">
      <calculatedColumnFormula>SUM('Servings to DF Pounds'!L64,'Cases to DF Pounds'!J64-Table52025121321[[#This Row],[Total Cases]])</calculatedColumnFormula>
    </tableColumn>
    <tableColumn id="5" xr3:uid="{EB5E4720-8113-4275-A313-8FB07A70B63F}" name="Jul" totalsRowFunction="sum" dataDxfId="89" totalsRowDxfId="88" dataCellStyle="Comma"/>
    <tableColumn id="7" xr3:uid="{3E6A55F9-0A1C-4879-B501-F44AD9041FDE}" name="Aug" totalsRowFunction="sum" dataDxfId="87" totalsRowDxfId="86" dataCellStyle="Comma"/>
    <tableColumn id="8" xr3:uid="{54308CA7-4642-41AB-86E7-D214B2A25019}" name="Sep" totalsRowFunction="sum" dataDxfId="85" totalsRowDxfId="84" dataCellStyle="Comma"/>
    <tableColumn id="9" xr3:uid="{503EAD4A-8DBF-4C0B-A102-6741141C9909}" name="Oct" totalsRowFunction="sum" dataDxfId="83" totalsRowDxfId="82" dataCellStyle="Comma"/>
    <tableColumn id="10" xr3:uid="{A8E1939A-E381-4B9F-BEB0-1F13D5260BBA}" name="Nov" totalsRowFunction="sum" dataDxfId="81" totalsRowDxfId="80" dataCellStyle="Comma"/>
    <tableColumn id="11" xr3:uid="{77ED6431-34DA-428A-92BA-24A8D1CDD3DA}" name="Dec" totalsRowFunction="sum" dataDxfId="79" totalsRowDxfId="78" dataCellStyle="Comma"/>
    <tableColumn id="13" xr3:uid="{CB5890D6-6541-46E1-9C84-CA4DA7CD33B5}" name="Jan" totalsRowFunction="sum" dataDxfId="77" totalsRowDxfId="76" dataCellStyle="Comma"/>
    <tableColumn id="15" xr3:uid="{3F53FB1C-F017-41F0-A1FC-3BD6A4C4D83E}" name="Feb" totalsRowFunction="sum" dataDxfId="75" totalsRowDxfId="74" dataCellStyle="Comma"/>
    <tableColumn id="16" xr3:uid="{2CED986E-86A1-4AD3-A03D-22B94C18A0F7}" name="Mar" totalsRowFunction="sum" dataDxfId="73" totalsRowDxfId="72" dataCellStyle="Comma"/>
    <tableColumn id="17" xr3:uid="{A075EBD6-3E79-45FD-9D14-7919857B9AE9}" name="Apr" totalsRowFunction="sum" dataDxfId="71" totalsRowDxfId="70" dataCellStyle="Comma"/>
    <tableColumn id="18" xr3:uid="{969F0F5C-5A67-40B9-B2F6-AA1FB3069D0E}" name="May" totalsRowFunction="sum" dataDxfId="69" totalsRowDxfId="68" dataCellStyle="Comma"/>
    <tableColumn id="19" xr3:uid="{926C0DAA-0D4E-426B-A69E-3B05EBE860F0}" name="Jun" totalsRowFunction="sum" dataDxfId="67" totalsRowDxfId="66" dataCellStyle="Comma"/>
    <tableColumn id="6" xr3:uid="{A7F20EA5-85CD-4220-907C-6154A42FA554}" name="Total Cases" totalsRowFunction="sum" dataDxfId="65" totalsRowDxfId="64">
      <calculatedColumnFormula>SUM(Table52025121321[[#This Row],[Jul]:[Jun]])</calculatedColumnFormula>
    </tableColumn>
  </tableColumns>
  <tableStyleInfo name="TableStyleLight9" showFirstColumn="0" showLastColumn="0" showRowStripes="1" showColumnStripes="0"/>
  <extLst>
    <ext xmlns:x14="http://schemas.microsoft.com/office/spreadsheetml/2009/9/main" uri="{504A1905-F514-4f6f-8877-14C23A59335A}">
      <x14:table altText="White-Dark Meat Product Table"/>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0C7DF0E-D6D1-4FD6-8998-4EAEC8FDFDF8}" name="Table11" displayName="Table11" ref="A3:C5" totalsRowShown="0">
  <autoFilter ref="A3:C5" xr:uid="{B0C7DF0E-D6D1-4FD6-8998-4EAEC8FDFDF8}"/>
  <sortState xmlns:xlrd2="http://schemas.microsoft.com/office/spreadsheetml/2017/richdata2" ref="A4:C5">
    <sortCondition descending="1" ref="A3:A5"/>
  </sortState>
  <tableColumns count="3">
    <tableColumn id="1" xr3:uid="{5EFAE1E8-F1C0-4BEF-8DBD-C0C800DC7A50}" name="SY 2025-2026 Calculator REVISION DATE" dataDxfId="63"/>
    <tableColumn id="2" xr3:uid="{4601967F-FE38-4E10-A010-DA42A35EFEE3}" name="FILE NAME"/>
    <tableColumn id="3" xr3:uid="{FE610F26-ED03-4B69-AF06-D0DC176C662E}" name="CHANGE"/>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B000000}" name="Table1521" displayName="Table1521" ref="F17:F18" totalsRowShown="0" headerRowDxfId="62" dataDxfId="61" dataCellStyle="Comma">
  <autoFilter ref="F17:F18" xr:uid="{00000000-0009-0000-0100-000014000000}"/>
  <tableColumns count="1">
    <tableColumn id="1" xr3:uid="{00000000-0010-0000-0B00-000001000000}" name="Popper Dark Meat Formed Cases" dataDxfId="60" dataCellStyle="Comma">
      <calculatedColumnFormula>ROUND(Table153322[Dark Meat DF Pounds Required]/31.8,0)</calculatedColumnFormula>
    </tableColumn>
  </tableColumns>
  <tableStyleInfo name="TableStyleLight13" showFirstColumn="0" showLastColumn="0" showRowStripes="1" showColumnStripes="0"/>
  <extLst>
    <ext xmlns:x14="http://schemas.microsoft.com/office/spreadsheetml/2009/9/main" uri="{504A1905-F514-4f6f-8877-14C23A59335A}">
      <x14:table altText="Popper Dark Meat Formed Cases Table"/>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C000000}" name="Table15332" displayName="Table15332" ref="E17:E18" totalsRowShown="0" headerRowDxfId="59" dataDxfId="58" dataCellStyle="Comma">
  <autoFilter ref="E17:E18" xr:uid="{00000000-0009-0000-0100-00001F000000}"/>
  <tableColumns count="1">
    <tableColumn id="1" xr3:uid="{00000000-0010-0000-0C00-000001000000}" name="Sausage Dark Meat Formed Cases" dataDxfId="57" dataCellStyle="Comma">
      <calculatedColumnFormula>ROUND(Table153322[Dark Meat DF Pounds Required]/53.3,0)</calculatedColumnFormula>
    </tableColumn>
  </tableColumns>
  <tableStyleInfo name="TableStyleLight13" showFirstColumn="0" showLastColumn="0" showRowStripes="1" showColumnStripes="0"/>
  <extLst>
    <ext xmlns:x14="http://schemas.microsoft.com/office/spreadsheetml/2009/9/main" uri="{504A1905-F514-4f6f-8877-14C23A59335A}">
      <x14:table altText="Sausage Dark Meat Cases"/>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153322" displayName="Table153322" ref="E13:E14" totalsRowShown="0" headerRowDxfId="56" dataDxfId="55" dataCellStyle="Comma">
  <autoFilter ref="E13:E14" xr:uid="{00000000-0009-0000-0100-000001000000}"/>
  <tableColumns count="1">
    <tableColumn id="1" xr3:uid="{00000000-0010-0000-0D00-000001000000}" name="Dark Meat DF Pounds Required" dataDxfId="54" dataCellStyle="Comma">
      <calculatedColumnFormula>(((Table41922[[#Totals],[DF Pounds WHITE]]+Table5202512[[#Totals],[DF Pounds WHITE]])*0.3109)/0.6891)-(Table5202226[[#Totals],[DF Pounds DARK]]+Table5202512[[#Totals],[DF Pounds DARK]])</calculatedColumnFormula>
    </tableColumn>
  </tableColumns>
  <tableStyleInfo name="TableStyleLight13" showFirstColumn="0" showLastColumn="0" showRowStripes="1" showColumnStripes="0"/>
  <extLst>
    <ext xmlns:x14="http://schemas.microsoft.com/office/spreadsheetml/2009/9/main" uri="{504A1905-F514-4f6f-8877-14C23A59335A}">
      <x14:table altText="Sausage Dark Meat Cases"/>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E000000}" name="Table15213" displayName="Table15213" ref="G17:G18" totalsRowShown="0" headerRowDxfId="53" dataDxfId="52" dataCellStyle="Comma">
  <autoFilter ref="G17:G18" xr:uid="{00000000-0009-0000-0100-000002000000}"/>
  <tableColumns count="1">
    <tableColumn id="1" xr3:uid="{00000000-0010-0000-0E00-000001000000}" name="Garlic Basil Meatball  Cases" dataDxfId="51" dataCellStyle="Comma">
      <calculatedColumnFormula>ROUND(Table153322[Dark Meat DF Pounds Required]/39.27,0)</calculatedColumnFormula>
    </tableColumn>
  </tableColumns>
  <tableStyleInfo name="TableStyleLight13" showFirstColumn="0" showLastColumn="0" showRowStripes="1" showColumnStripes="0"/>
  <extLst>
    <ext xmlns:x14="http://schemas.microsoft.com/office/spreadsheetml/2009/9/main" uri="{504A1905-F514-4f6f-8877-14C23A59335A}">
      <x14:table altText="Popper Dark Meat Formed Cases Table"/>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F000000}" name="Table152135" displayName="Table152135" ref="H17:J18" totalsRowShown="0" headerRowDxfId="50" dataDxfId="49" dataCellStyle="Comma">
  <autoFilter ref="H17:J18" xr:uid="{00000000-0009-0000-0100-000004000000}"/>
  <tableColumns count="3">
    <tableColumn id="1" xr3:uid="{00000000-0010-0000-0F00-000001000000}" name="Mango Jalapeno Meatball Cases" dataDxfId="48" dataCellStyle="Comma">
      <calculatedColumnFormula>ROUND(Table153322[Dark Meat DF Pounds Required]/38.59,0)</calculatedColumnFormula>
    </tableColumn>
    <tableColumn id="2" xr3:uid="{152A5CD6-3AD5-45D6-BDB6-FE2088615398}" name="NAE Chicken Crumble Cases" dataDxfId="47" dataCellStyle="Comma">
      <calculatedColumnFormula>ROUND(Table153322[Dark Meat DF Pounds Required]/47.63,0)</calculatedColumnFormula>
    </tableColumn>
    <tableColumn id="3" xr3:uid="{FEE0F105-71E0-40DA-892E-464BBA46793A}" name="NAE Popper Dark Meat Formed Cases" dataDxfId="46" dataCellStyle="Comma">
      <calculatedColumnFormula>ROUND(Table153322[Dark Meat DF Pounds Required]/31.8,0)</calculatedColumnFormula>
    </tableColumn>
  </tableColumns>
  <tableStyleInfo name="TableStyleLight13" showFirstColumn="0" showLastColumn="0" showRowStripes="1" showColumnStripes="0"/>
  <extLst>
    <ext xmlns:x14="http://schemas.microsoft.com/office/spreadsheetml/2009/9/main" uri="{504A1905-F514-4f6f-8877-14C23A59335A}">
      <x14:table altText="Popper Dark Meat Formed Cases Table"/>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06000000}" name="Table40" displayName="Table40" ref="E13:E14" totalsRowShown="0" headerRowDxfId="45" dataDxfId="44" dataCellStyle="Comma">
  <autoFilter ref="E13:E14" xr:uid="{00000000-0009-0000-0100-000028000000}">
    <filterColumn colId="0" hiddenButton="1"/>
  </autoFilter>
  <tableColumns count="1">
    <tableColumn id="1" xr3:uid="{00000000-0010-0000-0600-000001000000}" name="Dark Pounds Needed to Balance Order" dataDxfId="43" dataCellStyle="Comma">
      <calculatedColumnFormula>(((Table419[[#Totals],[DF Pounds WHITE]]+Table520251213[[#Totals],[DF Pounds WHITE]])*0.3109)/0.6891)-((Table52022[[#Totals],[DF Pounds DARK]])+Table520251213[[#Totals],[DF Pounds DARK]])</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le520" displayName="Table520" ref="C51:P59" totalsRowCount="1" headerRowDxfId="430" dataDxfId="428" totalsRowDxfId="426" headerRowBorderDxfId="429" tableBorderDxfId="427" totalsRowBorderDxfId="425">
  <autoFilter ref="C51:P58"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sortState xmlns:xlrd2="http://schemas.microsoft.com/office/spreadsheetml/2017/richdata2" ref="C52:P58">
    <sortCondition ref="C51:C58"/>
  </sortState>
  <tableColumns count="14">
    <tableColumn id="1" xr3:uid="{00000000-0010-0000-0100-000001000000}" name="Item Code" dataDxfId="424" totalsRowDxfId="423"/>
    <tableColumn id="2" xr3:uid="{00000000-0010-0000-0100-000002000000}" name="Product Description" dataDxfId="422" totalsRowDxfId="421"/>
    <tableColumn id="8" xr3:uid="{00000000-0010-0000-0100-000008000000}" name="DF $ Value Per Case" dataDxfId="420" totalsRowDxfId="419" dataCellStyle="Currency"/>
    <tableColumn id="11" xr3:uid="{00000000-0010-0000-0100-00000B000000}" name="DF Pounds White Per Case" dataDxfId="418" totalsRowDxfId="417" dataCellStyle="Currency"/>
    <tableColumn id="10" xr3:uid="{00000000-0010-0000-0100-00000A000000}" name="DF Pounds Dark Per Case" dataDxfId="416" totalsRowDxfId="415" dataCellStyle="Currency"/>
    <tableColumn id="3" xr3:uid="{00000000-0010-0000-0100-000003000000}" name="Avg. Wt. Per Serving" dataDxfId="414" totalsRowDxfId="413"/>
    <tableColumn id="4" xr3:uid="{00000000-0010-0000-0100-000004000000}" name="Avg. Servings Per Case" dataDxfId="412" totalsRowDxfId="411" dataCellStyle="Normal_Alternate Order Forms 15-16"/>
    <tableColumn id="15" xr3:uid="{00000000-0010-0000-0100-00000F000000}" name="Servings Needed" dataDxfId="410" totalsRowDxfId="409" dataCellStyle="Comma"/>
    <tableColumn id="14" xr3:uid="{00000000-0010-0000-0100-00000E000000}" name="Svg. Rounded by Case" dataDxfId="408" totalsRowDxfId="407" dataCellStyle="Comma">
      <calculatedColumnFormula>MROUND(Table520[[#This Row],[Servings Needed]],107)</calculatedColumnFormula>
    </tableColumn>
    <tableColumn id="12" xr3:uid="{00000000-0010-0000-0100-00000C000000}" name="Finished Cases" totalsRowFunction="sum" dataDxfId="406" totalsRowDxfId="405" dataCellStyle="Comma">
      <calculatedColumnFormula>Table520[[#This Row],[Svg. Rounded by Case]]/Table520[[#This Row],[Avg. Servings Per Case]]</calculatedColumnFormula>
    </tableColumn>
    <tableColumn id="5" xr3:uid="{00000000-0010-0000-0100-000005000000}" name="Total Servings" totalsRowFunction="sum" dataDxfId="404" totalsRowDxfId="403" dataCellStyle="Comma">
      <calculatedColumnFormula>Table520[[#This Row],[Finished Cases]]*Table520[[#This Row],[Avg. Servings Per Case]]</calculatedColumnFormula>
    </tableColumn>
    <tableColumn id="7" xr3:uid="{00000000-0010-0000-0100-000007000000}" name="DF $ Value" totalsRowFunction="sum" dataDxfId="402" totalsRowDxfId="401" dataCellStyle="Currency">
      <calculatedColumnFormula>Table520[[#This Row],[Finished Cases]]*Table520[[#This Row],[DF $ Value Per Case]]</calculatedColumnFormula>
    </tableColumn>
    <tableColumn id="9" xr3:uid="{00000000-0010-0000-0100-000009000000}" name="DF Pounds WHITE" totalsRowFunction="sum" dataDxfId="400" totalsRowDxfId="399" dataCellStyle="Comma">
      <calculatedColumnFormula>Table520[[#This Row],[Finished Cases]]*9.24</calculatedColumnFormula>
    </tableColumn>
    <tableColumn id="13" xr3:uid="{00000000-0010-0000-0100-00000D000000}" name="DF Pounds DARK" totalsRowFunction="sum" dataDxfId="398" totalsRowDxfId="397" dataCellStyle="Comma">
      <calculatedColumnFormula>Table520[[#This Row],[Finished Cases]]*4.17</calculatedColumnFormula>
    </tableColumn>
  </tableColumns>
  <tableStyleInfo name="TableStyleLight9" showFirstColumn="0" showLastColumn="0" showRowStripes="1" showColumnStripes="0"/>
  <extLst>
    <ext xmlns:x14="http://schemas.microsoft.com/office/spreadsheetml/2009/9/main" uri="{504A1905-F514-4f6f-8877-14C23A59335A}">
      <x14:table altText="White-Dark Meat Product Table"/>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7000000}" name="Table204" displayName="Table204" ref="G13:J14" totalsRowShown="0" headerRowDxfId="42" dataDxfId="41" dataCellStyle="Comma">
  <autoFilter ref="G13:J14" xr:uid="{00000000-0009-0000-0100-000003000000}">
    <filterColumn colId="0" hiddenButton="1"/>
    <filterColumn colId="1" hiddenButton="1"/>
    <filterColumn colId="2" hiddenButton="1"/>
    <filterColumn colId="3" hiddenButton="1"/>
  </autoFilter>
  <tableColumns count="4">
    <tableColumn id="2" xr3:uid="{00000000-0010-0000-0700-000002000000}" name=" Sausage Dark Cases" dataDxfId="40" dataCellStyle="Comma">
      <calculatedColumnFormula>Table40[Dark Pounds Needed to Balance Order]/53.3</calculatedColumnFormula>
    </tableColumn>
    <tableColumn id="3" xr3:uid="{00000000-0010-0000-0700-000003000000}" name="Dark Servings " dataDxfId="39" dataCellStyle="Comma">
      <calculatedColumnFormula>G14*232</calculatedColumnFormula>
    </tableColumn>
    <tableColumn id="4" xr3:uid="{00000000-0010-0000-0700-000004000000}" name="Dark Servings Rounded to nearest Case" dataDxfId="38" dataCellStyle="Comma">
      <calculatedColumnFormula>IF(Table204[[Dark Servings ]]&lt;0,Table204[[Dark Servings ]],Table204[Dark Cases Rounded]*232)</calculatedColumnFormula>
    </tableColumn>
    <tableColumn id="5" xr3:uid="{00000000-0010-0000-0700-000005000000}" name="Dark Cases Rounded" dataDxfId="37" dataCellStyle="Comma">
      <calculatedColumnFormula>ROUNDDOWN(Table204[[ Sausage Dark Cases]],0)</calculatedColumnFormula>
    </tableColumn>
  </tableColumns>
  <tableStyleInfo showFirstColumn="0" showLastColumn="0" showRowStripes="1" showColumnStripes="0"/>
  <extLst>
    <ext xmlns:x14="http://schemas.microsoft.com/office/spreadsheetml/2009/9/main" uri="{504A1905-F514-4f6f-8877-14C23A59335A}">
      <x14:table altText="Dark Pounds Table"/>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8000000}" name="Table20" displayName="Table20" ref="G16:J17" totalsRowShown="0" headerRowDxfId="36" dataDxfId="35" dataCellStyle="Comma">
  <autoFilter ref="G16:J17" xr:uid="{00000000-0009-0000-0100-000013000000}">
    <filterColumn colId="0" hiddenButton="1"/>
    <filterColumn colId="1" hiddenButton="1"/>
    <filterColumn colId="2" hiddenButton="1"/>
    <filterColumn colId="3" hiddenButton="1"/>
  </autoFilter>
  <tableColumns count="4">
    <tableColumn id="2" xr3:uid="{00000000-0010-0000-0800-000002000000}" name="Popper Dark Cases" dataDxfId="34" dataCellStyle="Comma">
      <calculatedColumnFormula>Table40[Dark Pounds Needed to Balance Order]/31.8</calculatedColumnFormula>
    </tableColumn>
    <tableColumn id="3" xr3:uid="{00000000-0010-0000-0800-000003000000}" name="Dark Servings " dataDxfId="33" dataCellStyle="Comma">
      <calculatedColumnFormula>G17*78</calculatedColumnFormula>
    </tableColumn>
    <tableColumn id="4" xr3:uid="{00000000-0010-0000-0800-000004000000}" name="Dark Servings Rounded to nearest Case" dataDxfId="32" dataCellStyle="Comma">
      <calculatedColumnFormula>IF(Table20[[Dark Servings ]]&lt;0,Table20[[Dark Servings ]],Table20[Dark Cases Rounded]*78)</calculatedColumnFormula>
    </tableColumn>
    <tableColumn id="5" xr3:uid="{00000000-0010-0000-0800-000005000000}" name="Dark Cases Rounded" dataDxfId="31" dataCellStyle="Comma">
      <calculatedColumnFormula>ROUNDDOWN(Table20[Popper Dark Cases],0)</calculatedColumnFormula>
    </tableColumn>
  </tableColumns>
  <tableStyleInfo showFirstColumn="0" showLastColumn="0" showRowStripes="1" showColumnStripes="0"/>
  <extLst>
    <ext xmlns:x14="http://schemas.microsoft.com/office/spreadsheetml/2009/9/main" uri="{504A1905-F514-4f6f-8877-14C23A59335A}">
      <x14:table altText="Servings Dark Table"/>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206" displayName="Table206" ref="G20:J21" totalsRowShown="0" headerRowDxfId="30" dataDxfId="29" dataCellStyle="Comma">
  <tableColumns count="4">
    <tableColumn id="2" xr3:uid="{00000000-0010-0000-0900-000002000000}" name="Garlic Basil Meatball Cases" dataDxfId="28" dataCellStyle="Comma">
      <calculatedColumnFormula>Table40[Dark Pounds Needed to Balance Order]/39.27</calculatedColumnFormula>
    </tableColumn>
    <tableColumn id="3" xr3:uid="{00000000-0010-0000-0900-000003000000}" name="Dark Servings " dataDxfId="27" dataCellStyle="Comma">
      <calculatedColumnFormula>G21*123</calculatedColumnFormula>
    </tableColumn>
    <tableColumn id="4" xr3:uid="{00000000-0010-0000-0900-000004000000}" name="Dark Servings Rounded to nearest Case" dataDxfId="26" dataCellStyle="Comma">
      <calculatedColumnFormula>IF(Table206[[Dark Servings ]]&lt;0,Table206[[Dark Servings ]],Table206[Dark Cases Rounded]*123)</calculatedColumnFormula>
    </tableColumn>
    <tableColumn id="5" xr3:uid="{00000000-0010-0000-0900-000005000000}" name="Dark Cases Rounded" dataDxfId="25" dataCellStyle="Comma">
      <calculatedColumnFormula>ROUNDDOWN(Table206[Garlic Basil Meatball Cases],0)</calculatedColumnFormula>
    </tableColumn>
  </tableColumns>
  <tableStyleInfo showFirstColumn="0" showLastColumn="0" showRowStripes="1" showColumnStripes="0"/>
  <extLst>
    <ext xmlns:x14="http://schemas.microsoft.com/office/spreadsheetml/2009/9/main" uri="{504A1905-F514-4f6f-8877-14C23A59335A}">
      <x14:table altText="Servings Dark Table"/>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Table2067" displayName="Table2067" ref="G24:J25" totalsRowShown="0" headerRowDxfId="24" dataDxfId="23" dataCellStyle="Comma">
  <tableColumns count="4">
    <tableColumn id="2" xr3:uid="{00000000-0010-0000-0A00-000002000000}" name="Mango Jalapeno Meatball Cases" dataDxfId="22" dataCellStyle="Comma">
      <calculatedColumnFormula>Table40[Dark Pounds Needed to Balance Order]/38.59</calculatedColumnFormula>
    </tableColumn>
    <tableColumn id="3" xr3:uid="{00000000-0010-0000-0A00-000003000000}" name="Dark Servings " dataDxfId="21" dataCellStyle="Comma">
      <calculatedColumnFormula>G25*123</calculatedColumnFormula>
    </tableColumn>
    <tableColumn id="4" xr3:uid="{00000000-0010-0000-0A00-000004000000}" name="Dark Servings Rounded to nearest Case" dataDxfId="20" dataCellStyle="Comma">
      <calculatedColumnFormula>IF(Table2067[[Dark Servings ]]&lt;0,Table2067[[Dark Servings ]],Table2067[Dark Cases Rounded]*123)</calculatedColumnFormula>
    </tableColumn>
    <tableColumn id="5" xr3:uid="{00000000-0010-0000-0A00-000005000000}" name="Dark Cases Rounded" dataDxfId="19" dataCellStyle="Comma">
      <calculatedColumnFormula>ROUNDDOWN(Table2067[Mango Jalapeno Meatball Cases],0)</calculatedColumnFormula>
    </tableColumn>
  </tableColumns>
  <tableStyleInfo showFirstColumn="0" showLastColumn="0" showRowStripes="1" showColumnStripes="0"/>
  <extLst>
    <ext xmlns:x14="http://schemas.microsoft.com/office/spreadsheetml/2009/9/main" uri="{504A1905-F514-4f6f-8877-14C23A59335A}">
      <x14:table altText="Servings Dark Table"/>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815A943-72A3-4F78-BE9E-0184C143E5D1}" name="Table206711" displayName="Table206711" ref="G27:J28" totalsRowShown="0" headerRowDxfId="18" dataDxfId="17" dataCellStyle="Comma">
  <tableColumns count="4">
    <tableColumn id="2" xr3:uid="{BC5805B0-75CF-48D6-AF4C-5B080D5F3A10}" name="NAE Chicken Crumble Cases" dataDxfId="16" dataCellStyle="Comma">
      <calculatedColumnFormula>Table40[Dark Pounds Needed to Balance Order]/47.63</calculatedColumnFormula>
    </tableColumn>
    <tableColumn id="3" xr3:uid="{0CE34245-EC50-4376-93FE-1E361A7150A4}" name="Dark Servings " dataDxfId="15" dataCellStyle="Comma">
      <calculatedColumnFormula>G28*123</calculatedColumnFormula>
    </tableColumn>
    <tableColumn id="4" xr3:uid="{7683CD36-FF34-4FB7-960C-EEBC9FA6C477}" name="Dark Servings Rounded to nearest Case" dataDxfId="14" dataCellStyle="Comma">
      <calculatedColumnFormula>IF(Table206711[[Dark Servings ]]&lt;0,Table206711[[Dark Servings ]],Table206711[Dark Cases Rounded]*123)</calculatedColumnFormula>
    </tableColumn>
    <tableColumn id="5" xr3:uid="{A026EAE4-B037-4128-983D-2D757E5A55E8}" name="Dark Cases Rounded" dataDxfId="13" dataCellStyle="Comma">
      <calculatedColumnFormula>ROUNDDOWN(Table206711[NAE Chicken Crumble Cases],0)</calculatedColumnFormula>
    </tableColumn>
  </tableColumns>
  <tableStyleInfo showFirstColumn="0" showLastColumn="0" showRowStripes="1" showColumnStripes="0"/>
  <extLst>
    <ext xmlns:x14="http://schemas.microsoft.com/office/spreadsheetml/2009/9/main" uri="{504A1905-F514-4f6f-8877-14C23A59335A}">
      <x14:table altText="Servings Dark Table"/>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5B11DEA-37B0-41A4-A4FC-49432D571530}" name="Table2018" displayName="Table2018" ref="G30:J31" totalsRowShown="0" headerRowDxfId="12" dataDxfId="11" dataCellStyle="Comma">
  <autoFilter ref="G30:J31" xr:uid="{25B11DEA-37B0-41A4-A4FC-49432D571530}"/>
  <tableColumns count="4">
    <tableColumn id="2" xr3:uid="{6C30ACDA-B41C-4673-921E-7243761194D9}" name="NAE Popper Dark Cases" dataDxfId="10" dataCellStyle="Comma">
      <calculatedColumnFormula>Table40[Dark Pounds Needed to Balance Order]/31.8</calculatedColumnFormula>
    </tableColumn>
    <tableColumn id="3" xr3:uid="{8716532A-7BB4-4989-81AB-1C7E8D442667}" name="Dark Servings " dataDxfId="9" dataCellStyle="Comma">
      <calculatedColumnFormula>G31*78</calculatedColumnFormula>
    </tableColumn>
    <tableColumn id="4" xr3:uid="{F5B94CB3-DE81-40DD-A561-6CA9D51DE341}" name="Dark Servings Rounded to nearest Case" dataDxfId="8" dataCellStyle="Comma">
      <calculatedColumnFormula>IF(Table2018[[Dark Servings ]]&lt;0,Table2018[[Dark Servings ]],Table2018[Dark Cases Rounded]*78)</calculatedColumnFormula>
    </tableColumn>
    <tableColumn id="5" xr3:uid="{EB4D1F05-0A5E-4FFA-AA85-9DA8094BCC67}" name="Dark Cases Rounded" dataDxfId="7" dataCellStyle="Comma">
      <calculatedColumnFormula>ROUNDDOWN(Table2018[NAE Popper Dark Cases],0)</calculatedColumnFormula>
    </tableColumn>
  </tableColumns>
  <tableStyleInfo showFirstColumn="0" showLastColumn="0" showRowStripes="1" showColumnStripes="0"/>
  <extLst>
    <ext xmlns:x14="http://schemas.microsoft.com/office/spreadsheetml/2009/9/main" uri="{504A1905-F514-4f6f-8877-14C23A59335A}">
      <x14:table altText="Servings Dark Tabl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52022" displayName="Table52022" ref="C41:P48" totalsRowCount="1" headerRowDxfId="396" dataDxfId="395" totalsRowDxfId="394">
  <autoFilter ref="C41:P47"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200-000001000000}" name="Item Code" dataDxfId="393" totalsRowDxfId="392"/>
    <tableColumn id="2" xr3:uid="{00000000-0010-0000-0200-000002000000}" name="Product Description" dataDxfId="391" totalsRowDxfId="390"/>
    <tableColumn id="8" xr3:uid="{00000000-0010-0000-0200-000008000000}" name="DF $ Value Per Case" dataDxfId="389" totalsRowDxfId="388" dataCellStyle="Currency"/>
    <tableColumn id="9" xr3:uid="{00000000-0010-0000-0200-000009000000}" name="DF Pounds White Per Case" dataDxfId="387" totalsRowDxfId="386" dataCellStyle="Comma"/>
    <tableColumn id="11" xr3:uid="{00000000-0010-0000-0200-00000B000000}" name="DF Pounds Dark Per Case" dataDxfId="385" totalsRowDxfId="384" dataCellStyle="Currency"/>
    <tableColumn id="3" xr3:uid="{00000000-0010-0000-0200-000003000000}" name="Avg. Wt. Per Serving" dataDxfId="383" totalsRowDxfId="382"/>
    <tableColumn id="4" xr3:uid="{00000000-0010-0000-0200-000004000000}" name="Avg. Servings Per Case" dataDxfId="381" totalsRowDxfId="380" dataCellStyle="Normal_Alternate Order Forms 15-16"/>
    <tableColumn id="15" xr3:uid="{00000000-0010-0000-0200-00000F000000}" name="Servings Needed" dataDxfId="379" totalsRowDxfId="378" dataCellStyle="Comma"/>
    <tableColumn id="14" xr3:uid="{00000000-0010-0000-0200-00000E000000}" name="Svg. Rounded by Case" dataDxfId="377" totalsRowDxfId="376" dataCellStyle="Comma">
      <calculatedColumnFormula>MROUND(Table52022[[#This Row],[Servings Needed]],77)</calculatedColumnFormula>
    </tableColumn>
    <tableColumn id="13" xr3:uid="{00000000-0010-0000-0200-00000D000000}" name="Finished Cases" totalsRowFunction="sum" dataDxfId="375" totalsRowDxfId="374" dataCellStyle="Comma">
      <calculatedColumnFormula>Table52022[[#This Row],[Svg. Rounded by Case]]/Table52022[[#This Row],[Avg. Servings Per Case]]</calculatedColumnFormula>
    </tableColumn>
    <tableColumn id="6" xr3:uid="{00000000-0010-0000-0200-000006000000}" name="Total Servings" totalsRowFunction="sum" dataDxfId="373" totalsRowDxfId="372">
      <calculatedColumnFormula>Table52022[[#This Row],[Finished Cases]]*Table52022[[#This Row],[Avg. Servings Per Case]]</calculatedColumnFormula>
    </tableColumn>
    <tableColumn id="7" xr3:uid="{00000000-0010-0000-0200-000007000000}" name="DF $ Value" totalsRowFunction="sum" dataDxfId="371" totalsRowDxfId="370" dataCellStyle="Currency">
      <calculatedColumnFormula>Table52022[[#This Row],[Finished Cases]]*Table52022[[#This Row],[DF $ Value Per Case]]</calculatedColumnFormula>
    </tableColumn>
    <tableColumn id="10" xr3:uid="{00000000-0010-0000-0200-00000A000000}" name="DF Pounds WHITE" dataDxfId="369" totalsRowDxfId="368" dataCellStyle="Comma"/>
    <tableColumn id="12" xr3:uid="{00000000-0010-0000-0200-00000C000000}" name="DF Pounds DARK" totalsRowFunction="sum" dataDxfId="367" totalsRowDxfId="366" dataCellStyle="Comma"/>
  </tableColumns>
  <tableStyleInfo name="TableStyleLight9" showFirstColumn="0" showLastColumn="0" showRowStripes="1" showColumnStripes="0"/>
  <extLst>
    <ext xmlns:x14="http://schemas.microsoft.com/office/spreadsheetml/2009/9/main" uri="{504A1905-F514-4f6f-8877-14C23A59335A}">
      <x14:table altText="Dark Meat only Product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43D44C8-4CD8-4748-B32E-9AEF29E732A7}" name="Table520251213" displayName="Table520251213" ref="C63:P73" totalsRowCount="1" headerRowDxfId="365" dataDxfId="363" totalsRowDxfId="361" headerRowBorderDxfId="364" tableBorderDxfId="362" totalsRowBorderDxfId="360">
  <sortState xmlns:xlrd2="http://schemas.microsoft.com/office/spreadsheetml/2017/richdata2" ref="C64:P68">
    <sortCondition ref="C51:C58"/>
  </sortState>
  <tableColumns count="14">
    <tableColumn id="1" xr3:uid="{25ED17C0-D846-4FDE-8048-C4E85CE075B2}" name="Item Code" dataDxfId="359" totalsRowDxfId="358"/>
    <tableColumn id="2" xr3:uid="{AD9DCE0A-969D-44C5-B706-66E6295576D6}" name="Product Description" dataDxfId="357" totalsRowDxfId="356"/>
    <tableColumn id="8" xr3:uid="{1E4F99F1-2C64-45B3-B3E0-84B2A09A7D6E}" name="DF $ Value Per Case" dataDxfId="355" totalsRowDxfId="354" dataCellStyle="Currency"/>
    <tableColumn id="11" xr3:uid="{93CD467E-A614-4028-83E7-61E00069C792}" name="DF Pounds White Per Case" dataDxfId="353" totalsRowDxfId="352" dataCellStyle="Currency"/>
    <tableColumn id="10" xr3:uid="{F1476351-48B0-4740-A36A-EE958FEFEC04}" name="DF Pounds Dark Per Case" dataDxfId="351" totalsRowDxfId="350" dataCellStyle="Currency"/>
    <tableColumn id="3" xr3:uid="{8581203E-6D25-4804-93D6-4290084C71B3}" name="Avg. Wt. Per Serving" dataDxfId="349" totalsRowDxfId="348"/>
    <tableColumn id="4" xr3:uid="{BFA074B9-46BF-4298-AC53-F23A3973D395}" name="Avg. Servings Per Case" dataDxfId="347" totalsRowDxfId="346" dataCellStyle="Normal_Alternate Order Forms 15-16"/>
    <tableColumn id="6" xr3:uid="{89D7AFB7-255E-4C7F-B1FC-A17F06B26B0C}" name="Servings Needed" dataDxfId="345" totalsRowDxfId="344"/>
    <tableColumn id="14" xr3:uid="{DF63EA48-E06F-440F-A603-90E90169C285}" name="Svg. Rounded by Case" dataDxfId="343" totalsRowDxfId="342">
      <calculatedColumnFormula>MROUND(Table520251213[[#This Row],[Servings Needed]],78)</calculatedColumnFormula>
    </tableColumn>
    <tableColumn id="12" xr3:uid="{DDEB8524-44BE-45C3-B9BA-3A73977538D0}" name="Finished Cases" totalsRowFunction="sum" dataDxfId="341" totalsRowDxfId="340">
      <calculatedColumnFormula>Table520251213[[#This Row],[Svg. Rounded by Case]]/Table520251213[[#This Row],[Avg. Servings Per Case]]</calculatedColumnFormula>
    </tableColumn>
    <tableColumn id="5" xr3:uid="{63C86375-6985-49C8-925F-11D2485777D9}" name="Total Servings" totalsRowFunction="sum" dataDxfId="339" totalsRowDxfId="338" dataCellStyle="Comma">
      <calculatedColumnFormula>Table520251213[[#This Row],[Finished Cases]]*Table520251213[[#This Row],[Avg. Servings Per Case]]</calculatedColumnFormula>
    </tableColumn>
    <tableColumn id="7" xr3:uid="{038F9642-38F2-4999-9427-8EBEBFFF89F9}" name="DF $ Value" totalsRowFunction="sum" dataDxfId="337" totalsRowDxfId="336" dataCellStyle="Currency">
      <calculatedColumnFormula>Table520251213[[#This Row],[Finished Cases]]*Table520251213[[#This Row],[DF $ Value Per Case]]</calculatedColumnFormula>
    </tableColumn>
    <tableColumn id="9" xr3:uid="{C949FD93-43C0-4A56-BBC8-862C0BB67C8F}" name="DF Pounds WHITE" totalsRowFunction="sum" dataDxfId="335" totalsRowDxfId="334" dataCellStyle="Comma">
      <calculatedColumnFormula>Table520251213[[#This Row],[Finished Cases]]*20.5</calculatedColumnFormula>
    </tableColumn>
    <tableColumn id="13" xr3:uid="{18DC2B27-7A15-466F-A2B1-12E0A04D937F}" name="DF Pounds DARK" totalsRowFunction="sum" dataDxfId="333" totalsRowDxfId="332" dataCellStyle="Comma"/>
  </tableColumns>
  <tableStyleInfo name="TableStyleLight9" showFirstColumn="0" showLastColumn="0" showRowStripes="1" showColumnStripes="0"/>
  <extLst>
    <ext xmlns:x14="http://schemas.microsoft.com/office/spreadsheetml/2009/9/main" uri="{504A1905-F514-4f6f-8877-14C23A59335A}">
      <x14:table altText="White-Dark Meat Product Table"/>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3000000}" name="Table41922" displayName="Table41922" ref="C19:N37" totalsRowCount="1" headerRowDxfId="331" dataDxfId="330" totalsRowDxfId="329">
  <autoFilter ref="C19:N36"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sortState xmlns:xlrd2="http://schemas.microsoft.com/office/spreadsheetml/2017/richdata2" ref="C20:J36">
    <sortCondition ref="C19:C36"/>
  </sortState>
  <tableColumns count="12">
    <tableColumn id="1" xr3:uid="{00000000-0010-0000-0300-000001000000}" name="Item Code" dataDxfId="328" totalsRowDxfId="327"/>
    <tableColumn id="2" xr3:uid="{00000000-0010-0000-0300-000002000000}" name="Product Description" dataDxfId="326" totalsRowDxfId="325"/>
    <tableColumn id="8" xr3:uid="{00000000-0010-0000-0300-000008000000}" name="DF $ Value Per Case" dataDxfId="324" totalsRowDxfId="323"/>
    <tableColumn id="10" xr3:uid="{00000000-0010-0000-0300-00000A000000}" name="DF Pounds White Per Case" dataDxfId="322" totalsRowDxfId="321" dataCellStyle="Currency"/>
    <tableColumn id="11" xr3:uid="{00000000-0010-0000-0300-00000B000000}" name="DF Pounds Dark Per Case" dataDxfId="320" totalsRowDxfId="319" dataCellStyle="Currency"/>
    <tableColumn id="3" xr3:uid="{00000000-0010-0000-0300-000003000000}" name="Avg. Wt. Per Serving" dataDxfId="318" totalsRowDxfId="317"/>
    <tableColumn id="5" xr3:uid="{00000000-0010-0000-0300-000005000000}" name="Avg. Servings Per Case" dataDxfId="316" totalsRowDxfId="315" dataCellStyle="Normal_Alternate Order Forms 15-16"/>
    <tableColumn id="7" xr3:uid="{00000000-0010-0000-0300-000007000000}" name="Finished Cases" totalsRowFunction="custom" dataDxfId="314" totalsRowDxfId="313">
      <totalsRowFormula>SUM(Table41922[Finished Cases])</totalsRowFormula>
    </tableColumn>
    <tableColumn id="6" xr3:uid="{00000000-0010-0000-0300-000006000000}" name="Total Servings" totalsRowFunction="sum" dataDxfId="312" totalsRowDxfId="311" dataCellStyle="Normal_Alternate Order Forms 15-16" totalsRowCellStyle="Normal_Alternate Order Forms 15-16">
      <calculatedColumnFormula>Table41922[[#This Row],[Finished Cases]]*Table41922[[#This Row],[Avg. Servings Per Case]]</calculatedColumnFormula>
    </tableColumn>
    <tableColumn id="4" xr3:uid="{00000000-0010-0000-0300-000004000000}" name="DF $ Value" totalsRowFunction="sum" dataDxfId="310" totalsRowDxfId="309" totalsRowCellStyle="Currency">
      <calculatedColumnFormula>Table41922[[#This Row],[Finished Cases]]*Table41922[[#This Row],[DF $ Value Per Case]]</calculatedColumnFormula>
    </tableColumn>
    <tableColumn id="9" xr3:uid="{00000000-0010-0000-0300-000009000000}" name="DF Pounds WHITE" totalsRowFunction="sum" dataDxfId="308" totalsRowDxfId="307">
      <calculatedColumnFormula>Table41922[[#This Row],[Finished Cases]]*20.5</calculatedColumnFormula>
    </tableColumn>
    <tableColumn id="12" xr3:uid="{00000000-0010-0000-0300-00000C000000}" name="DF Pounds DARK" dataDxfId="306" totalsRowDxfId="305"/>
  </tableColumns>
  <tableStyleInfo name="TableStyleLight9" showFirstColumn="0" showLastColumn="0" showRowStripes="1" showColumnStripes="0"/>
  <extLst>
    <ext xmlns:x14="http://schemas.microsoft.com/office/spreadsheetml/2009/9/main" uri="{504A1905-F514-4f6f-8877-14C23A59335A}">
      <x14:table altText="White Meat Only Products TABL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4000000}" name="Table52025" displayName="Table52025" ref="C51:N59" totalsRowCount="1" headerRowDxfId="304" dataDxfId="302" totalsRowDxfId="300" headerRowBorderDxfId="303" tableBorderDxfId="301" totalsRowBorderDxfId="299">
  <autoFilter ref="C51:N58" xr:uid="{00000000-0009-0000-0100-00001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sortState xmlns:xlrd2="http://schemas.microsoft.com/office/spreadsheetml/2017/richdata2" ref="C52:N58">
    <sortCondition ref="C51:C58"/>
  </sortState>
  <tableColumns count="12">
    <tableColumn id="1" xr3:uid="{00000000-0010-0000-0400-000001000000}" name="Item Code" dataDxfId="298" totalsRowDxfId="297"/>
    <tableColumn id="2" xr3:uid="{00000000-0010-0000-0400-000002000000}" name="Product Description" dataDxfId="296" totalsRowDxfId="295"/>
    <tableColumn id="8" xr3:uid="{00000000-0010-0000-0400-000008000000}" name="DF $ Value Per Case" dataDxfId="294" totalsRowDxfId="293"/>
    <tableColumn id="11" xr3:uid="{00000000-0010-0000-0400-00000B000000}" name="DF Pounds White Per Case" dataDxfId="292" totalsRowDxfId="291" dataCellStyle="Currency"/>
    <tableColumn id="10" xr3:uid="{00000000-0010-0000-0400-00000A000000}" name="DF Pounds Dark Per Case" dataDxfId="290" totalsRowDxfId="289" dataCellStyle="Currency"/>
    <tableColumn id="3" xr3:uid="{00000000-0010-0000-0400-000003000000}" name="Avg. Wt. Per Serving" dataDxfId="288" totalsRowDxfId="287"/>
    <tableColumn id="4" xr3:uid="{00000000-0010-0000-0400-000004000000}" name="Avg. Servings Per Case" dataDxfId="286" totalsRowDxfId="285" dataCellStyle="Normal_Alternate Order Forms 15-16"/>
    <tableColumn id="6" xr3:uid="{00000000-0010-0000-0400-000006000000}" name="Finished Cases" totalsRowFunction="custom" dataDxfId="284" totalsRowDxfId="283">
      <totalsRowFormula>SUM(Table52025[Finished Cases])</totalsRowFormula>
    </tableColumn>
    <tableColumn id="5" xr3:uid="{00000000-0010-0000-0400-000005000000}" name="Total Servings" totalsRowFunction="sum" dataDxfId="282" totalsRowDxfId="281" dataCellStyle="Normal_Alternate Order Forms 15-16" totalsRowCellStyle="Normal_Alternate Order Forms 15-16"/>
    <tableColumn id="7" xr3:uid="{00000000-0010-0000-0400-000007000000}" name="DF $ Value" totalsRowFunction="sum" dataDxfId="280" totalsRowDxfId="279" dataCellStyle="Currency">
      <calculatedColumnFormula>Table52025[[#This Row],[Finished Cases]]*Table52025[[#This Row],[DF $ Value Per Case]]</calculatedColumnFormula>
    </tableColumn>
    <tableColumn id="9" xr3:uid="{00000000-0010-0000-0400-000009000000}" name="DF Pounds WHITE" totalsRowFunction="sum" dataDxfId="278" totalsRowDxfId="277" dataCellStyle="Comma">
      <calculatedColumnFormula>Table52025[[#This Row],[Finished Cases]]*9.24</calculatedColumnFormula>
    </tableColumn>
    <tableColumn id="13" xr3:uid="{00000000-0010-0000-0400-00000D000000}" name="DF Pounds DARK" totalsRowFunction="sum" dataDxfId="276" totalsRowDxfId="275" dataCellStyle="Comma">
      <calculatedColumnFormula>Table52025[[#This Row],[Finished Cases]]*4.17</calculatedColumnFormula>
    </tableColumn>
  </tableColumns>
  <tableStyleInfo name="TableStyleLight9" showFirstColumn="0" showLastColumn="0" showRowStripes="1" showColumnStripes="0"/>
  <extLst>
    <ext xmlns:x14="http://schemas.microsoft.com/office/spreadsheetml/2009/9/main" uri="{504A1905-F514-4f6f-8877-14C23A59335A}">
      <x14:table altText="White-Dark Meat Product Tabl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5000000}" name="Table5202226" displayName="Table5202226" ref="C41:N48" totalsRowCount="1" headerRowDxfId="274" dataDxfId="273" totalsRowDxfId="272">
  <autoFilter ref="C41:N47"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500-000001000000}" name="Item Code" dataDxfId="271" totalsRowDxfId="270"/>
    <tableColumn id="2" xr3:uid="{00000000-0010-0000-0500-000002000000}" name="Product Description" dataDxfId="269" totalsRowDxfId="268"/>
    <tableColumn id="8" xr3:uid="{00000000-0010-0000-0500-000008000000}" name="DF $ Value Per Case" dataDxfId="267" totalsRowDxfId="266" dataCellStyle="Currency"/>
    <tableColumn id="9" xr3:uid="{00000000-0010-0000-0500-000009000000}" name="DF Pounds White Per Case" dataDxfId="265" totalsRowDxfId="264" dataCellStyle="Comma"/>
    <tableColumn id="11" xr3:uid="{00000000-0010-0000-0500-00000B000000}" name="DF Pounds Dark Per Case" dataDxfId="263" totalsRowDxfId="262" dataCellStyle="Currency"/>
    <tableColumn id="3" xr3:uid="{00000000-0010-0000-0500-000003000000}" name="Avg. Wt. Per Serving" dataDxfId="261" totalsRowDxfId="260"/>
    <tableColumn id="4" xr3:uid="{00000000-0010-0000-0500-000004000000}" name="Avg. Servings Per Case" dataDxfId="259" totalsRowDxfId="258" dataCellStyle="Normal_Alternate Order Forms 15-16"/>
    <tableColumn id="5" xr3:uid="{00000000-0010-0000-0500-000005000000}" name="Finished Cases" totalsRowFunction="custom" dataDxfId="257" totalsRowDxfId="256" dataCellStyle="Comma">
      <totalsRowFormula>SUM(Table5202226[Finished Cases])</totalsRowFormula>
    </tableColumn>
    <tableColumn id="6" xr3:uid="{00000000-0010-0000-0500-000006000000}" name="Total Servings" totalsRowFunction="sum" dataDxfId="255" totalsRowDxfId="254" dataCellStyle="Normal_Alternate Order Forms 15-16" totalsRowCellStyle="Normal_Alternate Order Forms 15-16">
      <calculatedColumnFormula>Table5202226[[#This Row],[Avg. Servings Per Case]]*Table5202226[[#This Row],[Finished Cases]]</calculatedColumnFormula>
    </tableColumn>
    <tableColumn id="7" xr3:uid="{00000000-0010-0000-0500-000007000000}" name="DF $ Value" totalsRowFunction="sum" dataDxfId="253" totalsRowDxfId="252" dataCellStyle="Currency">
      <calculatedColumnFormula>Table5202226[[#This Row],[Finished Cases]]*Table5202226[[#This Row],[DF $ Value Per Case]]</calculatedColumnFormula>
    </tableColumn>
    <tableColumn id="10" xr3:uid="{00000000-0010-0000-0500-00000A000000}" name="DF Pounds WHITE" dataDxfId="251" totalsRowDxfId="250" dataCellStyle="Comma"/>
    <tableColumn id="12" xr3:uid="{00000000-0010-0000-0500-00000C000000}" name="DF Pounds DARK" totalsRowFunction="sum" dataDxfId="249" totalsRowDxfId="248" dataCellStyle="Comma"/>
  </tableColumns>
  <tableStyleInfo name="TableStyleLight9" showFirstColumn="0" showLastColumn="0" showRowStripes="1" showColumnStripes="0"/>
  <extLst>
    <ext xmlns:x14="http://schemas.microsoft.com/office/spreadsheetml/2009/9/main" uri="{504A1905-F514-4f6f-8877-14C23A59335A}">
      <x14:table altText="Dark Meat only Product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03B1547-9E81-4632-8F8F-FDB339670729}" name="Table5202512" displayName="Table5202512" ref="C63:N73" totalsRowCount="1" headerRowDxfId="247" dataDxfId="245" totalsRowDxfId="243" headerRowBorderDxfId="246" tableBorderDxfId="244" totalsRowBorderDxfId="242">
  <sortState xmlns:xlrd2="http://schemas.microsoft.com/office/spreadsheetml/2017/richdata2" ref="C64:N68">
    <sortCondition ref="C51:C58"/>
  </sortState>
  <tableColumns count="12">
    <tableColumn id="1" xr3:uid="{10A4BCC3-5A5A-46A7-92D1-2A1985B561C5}" name="Item Code" dataDxfId="241" totalsRowDxfId="240"/>
    <tableColumn id="2" xr3:uid="{4CF55ECF-FF20-4014-9301-803288CAB677}" name="Product Description" dataDxfId="239" totalsRowDxfId="238"/>
    <tableColumn id="8" xr3:uid="{C37C9766-0AB0-4A25-A3C1-D8A43028EA67}" name="DF $ Value Per Case" dataDxfId="237" totalsRowDxfId="236" dataCellStyle="Currency"/>
    <tableColumn id="11" xr3:uid="{F789834F-DA42-42A2-8CED-F32C36298542}" name="DF Pounds White Per Case" dataDxfId="235" totalsRowDxfId="234" dataCellStyle="Currency"/>
    <tableColumn id="10" xr3:uid="{303120CD-0168-47D6-9A9E-BD9F7EF6A2E9}" name="DF Pounds Dark Per Case" dataDxfId="233" totalsRowDxfId="232" dataCellStyle="Currency"/>
    <tableColumn id="3" xr3:uid="{5878C4E2-F06A-45CD-810A-A07F12E2AFE4}" name="Avg. Wt. Per Serving" dataDxfId="231" totalsRowDxfId="230"/>
    <tableColumn id="4" xr3:uid="{893BC904-353D-4146-8E2D-30EB701C621F}" name="Avg. Servings Per Case" dataDxfId="229" totalsRowDxfId="228" dataCellStyle="Normal_Alternate Order Forms 15-16"/>
    <tableColumn id="6" xr3:uid="{2417E919-B77E-47E6-A524-0D440FEB05D7}" name="Finished Cases" totalsRowFunction="custom" dataDxfId="227" totalsRowDxfId="226">
      <totalsRowFormula>SUM(Table5202512[Finished Cases])</totalsRowFormula>
    </tableColumn>
    <tableColumn id="5" xr3:uid="{FEF2CC94-F2D3-4122-8FB3-D34F74275848}" name="Total Servings" totalsRowFunction="sum" dataDxfId="225" totalsRowDxfId="224" dataCellStyle="Normal_Alternate Order Forms 15-16" totalsRowCellStyle="Normal_Alternate Order Forms 15-16">
      <calculatedColumnFormula>Table5202512[[#This Row],[Avg. Servings Per Case]]*Table5202512[[#This Row],[Finished Cases]]</calculatedColumnFormula>
    </tableColumn>
    <tableColumn id="7" xr3:uid="{6A5F599B-57D5-4994-A4B0-880E3E985650}" name="DF $ Value" totalsRowFunction="sum" dataDxfId="223" totalsRowDxfId="222" dataCellStyle="Currency">
      <calculatedColumnFormula>Table5202512[[#This Row],[Finished Cases]]*Table5202512[[#This Row],[DF $ Value Per Case]]</calculatedColumnFormula>
    </tableColumn>
    <tableColumn id="9" xr3:uid="{89A9A6CA-8BAB-4B15-B840-309010687A0A}" name="DF Pounds WHITE" totalsRowFunction="sum" dataDxfId="221" totalsRowDxfId="220" dataCellStyle="Comma">
      <calculatedColumnFormula>Table5202512[[#This Row],[Finished Cases]]*20.5</calculatedColumnFormula>
    </tableColumn>
    <tableColumn id="13" xr3:uid="{E9524111-4A60-4029-8FBA-ADDFE5CAD3C6}" name="DF Pounds DARK" totalsRowFunction="sum" dataDxfId="219" totalsRowDxfId="218" dataCellStyle="Comma"/>
  </tableColumns>
  <tableStyleInfo name="TableStyleLight9" showFirstColumn="0" showLastColumn="0" showRowStripes="1" showColumnStripes="0"/>
  <extLst>
    <ext xmlns:x14="http://schemas.microsoft.com/office/spreadsheetml/2009/9/main" uri="{504A1905-F514-4f6f-8877-14C23A59335A}">
      <x14:table altText="White-Dark Meat Product Tabl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BD841EE-1611-4191-925B-67F352C78304}" name="Table41918" displayName="Table41918" ref="C12:S30" totalsRowCount="1" headerRowDxfId="217" dataDxfId="216" totalsRowDxfId="215">
  <autoFilter ref="C12:S2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sortState xmlns:xlrd2="http://schemas.microsoft.com/office/spreadsheetml/2017/richdata2" ref="C13:S29">
    <sortCondition ref="C12:C29"/>
  </sortState>
  <tableColumns count="17">
    <tableColumn id="1" xr3:uid="{1F741F18-F104-4ABC-AFDD-7BB2982E9F01}" name="Item Code" dataDxfId="214" totalsRowDxfId="213"/>
    <tableColumn id="2" xr3:uid="{75A787F2-A115-481C-8D37-9FD49D272F09}" name="Product Description" dataDxfId="212" totalsRowDxfId="211"/>
    <tableColumn id="5" xr3:uid="{25F4FF94-1899-476C-B524-76B1CF2188D3}" name="Avg. Servings Per Case" dataDxfId="210" totalsRowDxfId="209" dataCellStyle="Normal_Alternate Order Forms 15-16"/>
    <tableColumn id="3" xr3:uid="{68572642-CB07-43CF-B5AA-FA0BAF273E2C}" name="Cases to Add to Monthly Planner" dataDxfId="208" totalsRowDxfId="207">
      <calculatedColumnFormula>SUM('Servings to DF Pounds'!L20,'Cases to DF Pounds'!J20)-Table41918[[#This Row],[Total Cases]]</calculatedColumnFormula>
    </tableColumn>
    <tableColumn id="4" xr3:uid="{5EF538AB-7CE0-4C97-8D26-B9238FE56E38}" name="Jul" totalsRowFunction="sum" dataDxfId="206" totalsRowDxfId="205" dataCellStyle="Comma"/>
    <tableColumn id="7" xr3:uid="{834D4940-8F04-41E2-8567-64873A011F08}" name="Aug" totalsRowFunction="sum" dataDxfId="204" totalsRowDxfId="203" dataCellStyle="Comma"/>
    <tableColumn id="8" xr3:uid="{93E900E8-97D6-4EF0-BE9F-ED254A98ECA0}" name="Sep" totalsRowFunction="sum" dataDxfId="202" totalsRowDxfId="201" dataCellStyle="Comma"/>
    <tableColumn id="9" xr3:uid="{67A3EB8A-25C8-456C-A133-1934B0426634}" name="Oct" totalsRowFunction="sum" dataDxfId="200" totalsRowDxfId="199" dataCellStyle="Comma"/>
    <tableColumn id="10" xr3:uid="{9C9C3CB1-3F0F-4EB6-8E97-1838AAE692A3}" name="Nov" totalsRowFunction="sum" dataDxfId="198" totalsRowDxfId="197" dataCellStyle="Comma"/>
    <tableColumn id="11" xr3:uid="{3BA404EA-8B61-491D-A9AA-53E25205FA13}" name="Dec" totalsRowFunction="sum" dataDxfId="196" totalsRowDxfId="195" dataCellStyle="Comma"/>
    <tableColumn id="12" xr3:uid="{04645372-C72B-4A23-BDBA-C1388C7FBAC6}" name="Jan" totalsRowFunction="sum" dataDxfId="194" totalsRowDxfId="193" dataCellStyle="Comma"/>
    <tableColumn id="16" xr3:uid="{D2EB0D3E-28CD-4279-8241-C45976141731}" name="Feb" totalsRowFunction="sum" dataDxfId="192" totalsRowDxfId="191" dataCellStyle="Comma"/>
    <tableColumn id="17" xr3:uid="{095971D8-A82E-48F3-9A24-7AC37BC85D0B}" name="Mar" totalsRowFunction="sum" dataDxfId="190" totalsRowDxfId="189" dataCellStyle="Comma"/>
    <tableColumn id="18" xr3:uid="{39F5D43A-95A8-49F3-A252-3682D1803A08}" name="Apr" totalsRowFunction="sum" dataDxfId="188" totalsRowDxfId="187" dataCellStyle="Comma"/>
    <tableColumn id="19" xr3:uid="{1BCFECE1-8446-4946-9419-CDBE0997B19D}" name="May" totalsRowFunction="sum" dataDxfId="186" totalsRowDxfId="185" dataCellStyle="Comma"/>
    <tableColumn id="20" xr3:uid="{CD3D8B84-F43D-4812-A228-0F285CDCCFFD}" name="Jun" totalsRowFunction="sum" dataDxfId="184" totalsRowDxfId="183" dataCellStyle="Comma"/>
    <tableColumn id="14" xr3:uid="{0798BF08-9F95-4C71-9B60-F6BCC7CFE221}" name="Total Cases" totalsRowFunction="sum" dataDxfId="182" totalsRowDxfId="181" dataCellStyle="Normal_Alternate Order Forms 15-16"/>
  </tableColumns>
  <tableStyleInfo name="TableStyleLight9" showFirstColumn="0" showLastColumn="0" showRowStripes="1" showColumnStripes="0"/>
  <extLst>
    <ext xmlns:x14="http://schemas.microsoft.com/office/spreadsheetml/2009/9/main" uri="{504A1905-F514-4f6f-8877-14C23A59335A}">
      <x14:table altText="White Meat Only Products TABLE"/>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table" Target="../tables/table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4.bin"/><Relationship Id="rId6" Type="http://schemas.openxmlformats.org/officeDocument/2006/relationships/table" Target="../tables/table18.xml"/><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8" Type="http://schemas.openxmlformats.org/officeDocument/2006/relationships/table" Target="../tables/table25.xml"/><Relationship Id="rId3" Type="http://schemas.openxmlformats.org/officeDocument/2006/relationships/table" Target="../tables/table20.xml"/><Relationship Id="rId7" Type="http://schemas.openxmlformats.org/officeDocument/2006/relationships/table" Target="../tables/table24.xml"/><Relationship Id="rId2" Type="http://schemas.openxmlformats.org/officeDocument/2006/relationships/table" Target="../tables/table19.xml"/><Relationship Id="rId1" Type="http://schemas.openxmlformats.org/officeDocument/2006/relationships/printerSettings" Target="../printerSettings/printerSettings5.bin"/><Relationship Id="rId6" Type="http://schemas.openxmlformats.org/officeDocument/2006/relationships/table" Target="../tables/table23.xml"/><Relationship Id="rId5" Type="http://schemas.openxmlformats.org/officeDocument/2006/relationships/table" Target="../tables/table22.xml"/><Relationship Id="rId4"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AA126"/>
  <sheetViews>
    <sheetView showGridLines="0" tabSelected="1" topLeftCell="B13" zoomScale="70" zoomScaleNormal="70" workbookViewId="0">
      <selection activeCell="J71" sqref="J71"/>
    </sheetView>
  </sheetViews>
  <sheetFormatPr defaultColWidth="9.1796875" defaultRowHeight="14.5" x14ac:dyDescent="0.35"/>
  <cols>
    <col min="1" max="1" width="0" hidden="1" customWidth="1"/>
    <col min="2" max="2" width="9.1796875" customWidth="1"/>
    <col min="3" max="3" width="13.54296875" customWidth="1"/>
    <col min="4" max="4" width="80.7265625" customWidth="1"/>
    <col min="5" max="10" width="22.7265625" customWidth="1"/>
    <col min="11" max="13" width="22.7265625" style="1" customWidth="1"/>
    <col min="14" max="16" width="22.7265625" customWidth="1"/>
    <col min="17" max="17" width="17.7265625" customWidth="1"/>
    <col min="18" max="18" width="9.1796875" customWidth="1"/>
    <col min="19" max="19" width="47.81640625" bestFit="1" customWidth="1"/>
    <col min="20" max="20" width="20" customWidth="1"/>
    <col min="21" max="21" width="21.7265625" customWidth="1"/>
    <col min="22" max="22" width="50.81640625" bestFit="1" customWidth="1"/>
    <col min="23" max="23" width="28.7265625" customWidth="1"/>
    <col min="24" max="25" width="21.7265625" customWidth="1"/>
    <col min="26" max="28" width="9.1796875" customWidth="1"/>
    <col min="29" max="29" width="21.453125" customWidth="1"/>
    <col min="30" max="33" width="9.1796875" customWidth="1"/>
  </cols>
  <sheetData>
    <row r="1" spans="5:17" ht="22.5" customHeight="1" x14ac:dyDescent="0.45">
      <c r="Q1" s="5"/>
    </row>
    <row r="2" spans="5:17" ht="22.5" customHeight="1" x14ac:dyDescent="0.45">
      <c r="Q2" s="5"/>
    </row>
    <row r="3" spans="5:17" ht="22.5" customHeight="1" x14ac:dyDescent="0.45">
      <c r="E3" s="9"/>
      <c r="F3" s="7"/>
      <c r="Q3" s="5"/>
    </row>
    <row r="4" spans="5:17" ht="22.5" customHeight="1" x14ac:dyDescent="0.7">
      <c r="E4" s="8"/>
      <c r="Q4" s="5"/>
    </row>
    <row r="5" spans="5:17" ht="22.5" customHeight="1" x14ac:dyDescent="0.45">
      <c r="Q5" s="5"/>
    </row>
    <row r="6" spans="5:17" ht="22.5" customHeight="1" x14ac:dyDescent="0.45">
      <c r="Q6" s="5"/>
    </row>
    <row r="7" spans="5:17" ht="22.5" customHeight="1" x14ac:dyDescent="0.45">
      <c r="Q7" s="5"/>
    </row>
    <row r="8" spans="5:17" ht="22.5" customHeight="1" x14ac:dyDescent="0.45">
      <c r="Q8" s="5"/>
    </row>
    <row r="9" spans="5:17" ht="22.5" customHeight="1" x14ac:dyDescent="0.45">
      <c r="E9" s="22"/>
      <c r="F9" s="2"/>
      <c r="Q9" s="5"/>
    </row>
    <row r="10" spans="5:17" ht="22.5" customHeight="1" x14ac:dyDescent="0.45">
      <c r="E10" s="22"/>
      <c r="F10" s="2"/>
      <c r="Q10" s="5"/>
    </row>
    <row r="11" spans="5:17" ht="22.5" customHeight="1" x14ac:dyDescent="0.45">
      <c r="E11" s="22"/>
      <c r="F11" s="2"/>
      <c r="Q11" s="5"/>
    </row>
    <row r="12" spans="5:17" ht="22.5" customHeight="1" x14ac:dyDescent="0.45">
      <c r="E12" s="22"/>
      <c r="F12" s="2"/>
      <c r="Q12" s="5"/>
    </row>
    <row r="13" spans="5:17" ht="22.5" customHeight="1" x14ac:dyDescent="0.45">
      <c r="E13" s="22"/>
      <c r="F13" s="2"/>
      <c r="Q13" s="5"/>
    </row>
    <row r="14" spans="5:17" ht="22.5" customHeight="1" x14ac:dyDescent="0.45">
      <c r="E14" s="22"/>
      <c r="F14" s="2"/>
      <c r="Q14" s="5"/>
    </row>
    <row r="15" spans="5:17" ht="22.5" customHeight="1" x14ac:dyDescent="0.45">
      <c r="E15" s="22"/>
      <c r="F15" s="2"/>
      <c r="Q15" s="5"/>
    </row>
    <row r="16" spans="5:17" ht="22.5" customHeight="1" x14ac:dyDescent="0.45">
      <c r="E16" s="22"/>
      <c r="F16" s="2"/>
      <c r="Q16" s="5"/>
    </row>
    <row r="17" spans="3:23" ht="118.15" customHeight="1" x14ac:dyDescent="0.45">
      <c r="E17" s="22"/>
      <c r="F17" s="2"/>
      <c r="Q17" s="5"/>
    </row>
    <row r="18" spans="3:23" ht="41.25" customHeight="1" x14ac:dyDescent="0.45">
      <c r="C18" s="178" t="s">
        <v>80</v>
      </c>
      <c r="D18" s="178"/>
      <c r="E18" s="178"/>
      <c r="F18" s="178"/>
      <c r="G18" s="64"/>
      <c r="H18" s="64"/>
      <c r="I18" s="65"/>
      <c r="J18" s="64"/>
      <c r="K18" s="64"/>
      <c r="L18" s="64"/>
      <c r="M18" s="23"/>
      <c r="N18" s="24"/>
      <c r="O18" s="24"/>
      <c r="P18" s="24"/>
      <c r="Q18" s="5"/>
    </row>
    <row r="19" spans="3:23" s="5" customFormat="1" ht="80.150000000000006" customHeight="1" x14ac:dyDescent="0.45">
      <c r="C19" s="53" t="s">
        <v>0</v>
      </c>
      <c r="D19" s="54" t="s">
        <v>1</v>
      </c>
      <c r="E19" s="54" t="s">
        <v>5</v>
      </c>
      <c r="F19" s="54" t="s">
        <v>9</v>
      </c>
      <c r="G19" s="54" t="s">
        <v>8</v>
      </c>
      <c r="H19" s="54" t="s">
        <v>2</v>
      </c>
      <c r="I19" s="53" t="s">
        <v>6</v>
      </c>
      <c r="J19" s="53" t="s">
        <v>12</v>
      </c>
      <c r="K19" s="53" t="s">
        <v>16</v>
      </c>
      <c r="L19" s="53" t="s">
        <v>20</v>
      </c>
      <c r="M19" s="53" t="s">
        <v>3</v>
      </c>
      <c r="N19" s="53" t="s">
        <v>7</v>
      </c>
      <c r="O19" s="53" t="s">
        <v>10</v>
      </c>
      <c r="P19" s="53" t="s">
        <v>11</v>
      </c>
    </row>
    <row r="20" spans="3:23" s="10" customFormat="1" ht="22.5" customHeight="1" x14ac:dyDescent="0.35">
      <c r="C20" s="158" t="s">
        <v>82</v>
      </c>
      <c r="D20" s="33"/>
      <c r="E20" s="33"/>
      <c r="F20" s="33"/>
      <c r="G20" s="33"/>
      <c r="H20" s="34"/>
      <c r="I20" s="35"/>
      <c r="J20" s="35"/>
      <c r="K20" s="58"/>
      <c r="L20" s="58"/>
      <c r="M20" s="37"/>
      <c r="N20" s="133">
        <f>Table419[[#This Row],[Finished Cases]]*Table419[[#This Row],[DF $ Value Per Case]]</f>
        <v>0</v>
      </c>
      <c r="O20" s="38">
        <f>Table419[[#This Row],[Finished Cases]]*20.5</f>
        <v>0</v>
      </c>
      <c r="P20" s="39"/>
    </row>
    <row r="21" spans="3:23" s="10" customFormat="1" ht="22.5" customHeight="1" x14ac:dyDescent="0.35">
      <c r="C21" s="12">
        <v>13440</v>
      </c>
      <c r="D21" s="167" t="s">
        <v>91</v>
      </c>
      <c r="E21" s="161">
        <v>30.55</v>
      </c>
      <c r="F21" s="13" t="s">
        <v>32</v>
      </c>
      <c r="G21" s="28">
        <v>0</v>
      </c>
      <c r="H21" s="14" t="s">
        <v>33</v>
      </c>
      <c r="I21" s="31">
        <v>78</v>
      </c>
      <c r="J21" s="60"/>
      <c r="K21" s="90">
        <f>MROUND(Table419[[#This Row],[Servings Needed]],78)</f>
        <v>0</v>
      </c>
      <c r="L21" s="88">
        <f>Table419[[#This Row],[Svg. Rounded by Case]]/Table419[[#This Row],[Avg. Servings Per Case]]</f>
        <v>0</v>
      </c>
      <c r="M21" s="93">
        <f>Table419[[#This Row],[Finished Cases]]*Table419[[#This Row],[Avg. Servings Per Case]]</f>
        <v>0</v>
      </c>
      <c r="N21" s="32">
        <f>Table419[[#This Row],[Finished Cases]]*Table419[[#This Row],[DF $ Value Per Case]]</f>
        <v>0</v>
      </c>
      <c r="O21" s="61">
        <f>Table419[[#This Row],[Finished Cases]]*20.5</f>
        <v>0</v>
      </c>
      <c r="P21" s="210"/>
    </row>
    <row r="22" spans="3:23" s="10" customFormat="1" ht="22.5" customHeight="1" x14ac:dyDescent="0.35">
      <c r="C22" s="15">
        <v>13410</v>
      </c>
      <c r="D22" s="167" t="s">
        <v>110</v>
      </c>
      <c r="E22" s="161">
        <v>30.55</v>
      </c>
      <c r="F22" s="13" t="s">
        <v>32</v>
      </c>
      <c r="G22" s="28">
        <v>0</v>
      </c>
      <c r="H22" s="14" t="s">
        <v>33</v>
      </c>
      <c r="I22" s="31">
        <v>78</v>
      </c>
      <c r="J22" s="60"/>
      <c r="K22" s="90">
        <f>MROUND(Table419[[#This Row],[Servings Needed]],78)</f>
        <v>0</v>
      </c>
      <c r="L22" s="88">
        <f>Table419[[#This Row],[Svg. Rounded by Case]]/Table419[[#This Row],[Avg. Servings Per Case]]</f>
        <v>0</v>
      </c>
      <c r="M22" s="93">
        <f>Table419[[#This Row],[Finished Cases]]*Table419[[#This Row],[Avg. Servings Per Case]]</f>
        <v>0</v>
      </c>
      <c r="N22" s="32">
        <f>Table419[[#This Row],[Finished Cases]]*Table419[[#This Row],[DF $ Value Per Case]]</f>
        <v>0</v>
      </c>
      <c r="O22" s="61">
        <f>Table419[[#This Row],[Finished Cases]]*20.5</f>
        <v>0</v>
      </c>
      <c r="P22" s="210"/>
    </row>
    <row r="23" spans="3:23" s="10" customFormat="1" ht="22.5" customHeight="1" x14ac:dyDescent="0.35">
      <c r="C23" s="15">
        <v>13443</v>
      </c>
      <c r="D23" s="167" t="s">
        <v>129</v>
      </c>
      <c r="E23" s="161">
        <v>30.55</v>
      </c>
      <c r="F23" s="13" t="s">
        <v>32</v>
      </c>
      <c r="G23" s="28">
        <v>0</v>
      </c>
      <c r="H23" s="14" t="s">
        <v>33</v>
      </c>
      <c r="I23" s="31">
        <v>78</v>
      </c>
      <c r="J23" s="60"/>
      <c r="K23" s="90">
        <f>MROUND(Table419[[#This Row],[Servings Needed]],78)</f>
        <v>0</v>
      </c>
      <c r="L23" s="88">
        <f>Table419[[#This Row],[Svg. Rounded by Case]]/Table419[[#This Row],[Avg. Servings Per Case]]</f>
        <v>0</v>
      </c>
      <c r="M23" s="93">
        <f>Table419[[#This Row],[Finished Cases]]*Table419[[#This Row],[Avg. Servings Per Case]]</f>
        <v>0</v>
      </c>
      <c r="N23" s="32">
        <f>Table419[[#This Row],[Finished Cases]]*Table419[[#This Row],[DF $ Value Per Case]]</f>
        <v>0</v>
      </c>
      <c r="O23" s="61">
        <f>Table419[[#This Row],[Finished Cases]]*20.5</f>
        <v>0</v>
      </c>
      <c r="P23" s="210"/>
    </row>
    <row r="24" spans="3:23" s="10" customFormat="1" ht="22.5" customHeight="1" x14ac:dyDescent="0.35">
      <c r="C24" s="15">
        <v>13441</v>
      </c>
      <c r="D24" s="167" t="s">
        <v>92</v>
      </c>
      <c r="E24" s="161">
        <v>30.55</v>
      </c>
      <c r="F24" s="13" t="s">
        <v>32</v>
      </c>
      <c r="G24" s="28">
        <v>0</v>
      </c>
      <c r="H24" s="16" t="s">
        <v>34</v>
      </c>
      <c r="I24" s="20">
        <v>156</v>
      </c>
      <c r="J24" s="60"/>
      <c r="K24" s="90">
        <f>MROUND(Table419[[#This Row],[Servings Needed]],156)</f>
        <v>0</v>
      </c>
      <c r="L24" s="89">
        <f>Table419[[#This Row],[Svg. Rounded by Case]]/Table419[[#This Row],[Avg. Servings Per Case]]</f>
        <v>0</v>
      </c>
      <c r="M24" s="93">
        <f>Table419[[#This Row],[Finished Cases]]*Table419[[#This Row],[Avg. Servings Per Case]]</f>
        <v>0</v>
      </c>
      <c r="N24" s="32">
        <f>Table419[[#This Row],[Finished Cases]]*Table419[[#This Row],[DF $ Value Per Case]]</f>
        <v>0</v>
      </c>
      <c r="O24" s="61">
        <f>Table419[[#This Row],[Finished Cases]]*20.5</f>
        <v>0</v>
      </c>
      <c r="P24" s="211"/>
      <c r="S24" s="212"/>
      <c r="T24" s="11"/>
      <c r="U24" s="11"/>
      <c r="V24" s="11"/>
      <c r="W24" s="11"/>
    </row>
    <row r="25" spans="3:23" s="10" customFormat="1" ht="22.5" customHeight="1" x14ac:dyDescent="0.35">
      <c r="C25" s="15">
        <v>23415</v>
      </c>
      <c r="D25" s="167" t="s">
        <v>93</v>
      </c>
      <c r="E25" s="161">
        <v>30.55</v>
      </c>
      <c r="F25" s="13" t="s">
        <v>32</v>
      </c>
      <c r="G25" s="28">
        <v>0</v>
      </c>
      <c r="H25" s="16" t="s">
        <v>36</v>
      </c>
      <c r="I25" s="20">
        <v>78</v>
      </c>
      <c r="J25" s="60"/>
      <c r="K25" s="90">
        <f>MROUND(Table419[[#This Row],[Servings Needed]],78)</f>
        <v>0</v>
      </c>
      <c r="L25" s="89">
        <f>Table419[[#This Row],[Svg. Rounded by Case]]/Table419[[#This Row],[Avg. Servings Per Case]]</f>
        <v>0</v>
      </c>
      <c r="M25" s="93">
        <f>Table419[[#This Row],[Finished Cases]]*Table419[[#This Row],[Avg. Servings Per Case]]</f>
        <v>0</v>
      </c>
      <c r="N25" s="32">
        <f>Table419[[#This Row],[Finished Cases]]*Table419[[#This Row],[DF $ Value Per Case]]</f>
        <v>0</v>
      </c>
      <c r="O25" s="61">
        <f>Table419[[#This Row],[Finished Cases]]*20.5</f>
        <v>0</v>
      </c>
      <c r="P25" s="211"/>
      <c r="S25" s="212"/>
      <c r="T25" s="11"/>
      <c r="U25" s="11"/>
      <c r="V25" s="11"/>
      <c r="W25" s="11"/>
    </row>
    <row r="26" spans="3:23" s="10" customFormat="1" ht="22.5" customHeight="1" x14ac:dyDescent="0.35">
      <c r="C26" s="15">
        <v>23417</v>
      </c>
      <c r="D26" s="167" t="s">
        <v>112</v>
      </c>
      <c r="E26" s="161">
        <v>30.55</v>
      </c>
      <c r="F26" s="13" t="s">
        <v>32</v>
      </c>
      <c r="G26" s="28">
        <v>0</v>
      </c>
      <c r="H26" s="16" t="s">
        <v>36</v>
      </c>
      <c r="I26" s="20">
        <v>78</v>
      </c>
      <c r="J26" s="60"/>
      <c r="K26" s="90">
        <f>MROUND(Table419[[#This Row],[Servings Needed]],78)</f>
        <v>0</v>
      </c>
      <c r="L26" s="89">
        <f>Table419[[#This Row],[Svg. Rounded by Case]]/Table419[[#This Row],[Avg. Servings Per Case]]</f>
        <v>0</v>
      </c>
      <c r="M26" s="93">
        <f>Table419[[#This Row],[Finished Cases]]*Table419[[#This Row],[Avg. Servings Per Case]]</f>
        <v>0</v>
      </c>
      <c r="N26" s="32">
        <f>Table419[[#This Row],[Finished Cases]]*Table419[[#This Row],[DF $ Value Per Case]]</f>
        <v>0</v>
      </c>
      <c r="O26" s="61">
        <f>Table419[[#This Row],[Finished Cases]]*20.5</f>
        <v>0</v>
      </c>
      <c r="P26" s="211"/>
    </row>
    <row r="27" spans="3:23" s="10" customFormat="1" ht="22.5" customHeight="1" x14ac:dyDescent="0.35">
      <c r="C27" s="17">
        <v>43424</v>
      </c>
      <c r="D27" s="167" t="s">
        <v>94</v>
      </c>
      <c r="E27" s="161">
        <v>30.55</v>
      </c>
      <c r="F27" s="13" t="s">
        <v>32</v>
      </c>
      <c r="G27" s="28">
        <v>0</v>
      </c>
      <c r="H27" s="18" t="s">
        <v>35</v>
      </c>
      <c r="I27" s="41">
        <v>78</v>
      </c>
      <c r="J27" s="60"/>
      <c r="K27" s="90">
        <f>MROUND(Table419[[#This Row],[Servings Needed]],78)</f>
        <v>0</v>
      </c>
      <c r="L27" s="89">
        <f>Table419[[#This Row],[Svg. Rounded by Case]]/Table419[[#This Row],[Avg. Servings Per Case]]</f>
        <v>0</v>
      </c>
      <c r="M27" s="93">
        <f>Table419[[#This Row],[Finished Cases]]*Table419[[#This Row],[Avg. Servings Per Case]]</f>
        <v>0</v>
      </c>
      <c r="N27" s="32">
        <f>Table419[[#This Row],[Finished Cases]]*Table419[[#This Row],[DF $ Value Per Case]]</f>
        <v>0</v>
      </c>
      <c r="O27" s="61">
        <f>Table419[[#This Row],[Finished Cases]]*20.5</f>
        <v>0</v>
      </c>
      <c r="P27" s="211"/>
    </row>
    <row r="28" spans="3:23" s="10" customFormat="1" ht="22.5" customHeight="1" x14ac:dyDescent="0.35">
      <c r="C28" s="17">
        <v>43404</v>
      </c>
      <c r="D28" s="167" t="s">
        <v>113</v>
      </c>
      <c r="E28" s="161">
        <v>30.55</v>
      </c>
      <c r="F28" s="13" t="s">
        <v>32</v>
      </c>
      <c r="G28" s="28">
        <v>0</v>
      </c>
      <c r="H28" s="28" t="s">
        <v>35</v>
      </c>
      <c r="I28" s="41">
        <v>78</v>
      </c>
      <c r="J28" s="60"/>
      <c r="K28" s="90">
        <f>MROUND(Table419[[#This Row],[Servings Needed]],78)</f>
        <v>0</v>
      </c>
      <c r="L28" s="89">
        <f>Table419[[#This Row],[Svg. Rounded by Case]]/Table419[[#This Row],[Avg. Servings Per Case]]</f>
        <v>0</v>
      </c>
      <c r="M28" s="93">
        <f>Table419[[#This Row],[Finished Cases]]*Table419[[#This Row],[Avg. Servings Per Case]]</f>
        <v>0</v>
      </c>
      <c r="N28" s="32">
        <f>Table419[[#This Row],[Finished Cases]]*Table419[[#This Row],[DF $ Value Per Case]]</f>
        <v>0</v>
      </c>
      <c r="O28" s="28">
        <f>Table419[[#This Row],[Finished Cases]]*20.5</f>
        <v>0</v>
      </c>
      <c r="P28" s="28"/>
    </row>
    <row r="29" spans="3:23" s="10" customFormat="1" ht="22.5" customHeight="1" x14ac:dyDescent="0.35">
      <c r="C29" s="15">
        <v>56405</v>
      </c>
      <c r="D29" s="159" t="s">
        <v>133</v>
      </c>
      <c r="E29" s="161">
        <v>39.17</v>
      </c>
      <c r="F29" s="13" t="s">
        <v>41</v>
      </c>
      <c r="G29" s="28">
        <v>0</v>
      </c>
      <c r="H29" s="28" t="s">
        <v>138</v>
      </c>
      <c r="I29" s="41">
        <v>119</v>
      </c>
      <c r="J29" s="60"/>
      <c r="K29" s="90">
        <f>MROUND(Table419[[#This Row],[Servings Needed]],119)</f>
        <v>0</v>
      </c>
      <c r="L29" s="89">
        <f>Table419[[#This Row],[Svg. Rounded by Case]]/Table419[[#This Row],[Avg. Servings Per Case]]</f>
        <v>0</v>
      </c>
      <c r="M29" s="93">
        <f>Table419[[#This Row],[Finished Cases]]*Table419[[#This Row],[Avg. Servings Per Case]]</f>
        <v>0</v>
      </c>
      <c r="N29" s="32">
        <f>Table419[[#This Row],[Finished Cases]]*Table419[[#This Row],[DF $ Value Per Case]]</f>
        <v>0</v>
      </c>
      <c r="O29" s="28">
        <f>Table419[[#This Row],[Finished Cases]]*26.28</f>
        <v>0</v>
      </c>
      <c r="P29" s="28"/>
    </row>
    <row r="30" spans="3:23" s="10" customFormat="1" ht="22.5" customHeight="1" x14ac:dyDescent="0.35">
      <c r="C30" s="158" t="s">
        <v>81</v>
      </c>
      <c r="D30" s="43"/>
      <c r="E30" s="43"/>
      <c r="F30" s="43"/>
      <c r="G30" s="43"/>
      <c r="H30" s="44"/>
      <c r="I30" s="45"/>
      <c r="J30" s="45"/>
      <c r="K30" s="59"/>
      <c r="L30" s="87"/>
      <c r="M30" s="94"/>
      <c r="N30" s="46"/>
      <c r="O30" s="46"/>
      <c r="P30" s="47"/>
    </row>
    <row r="31" spans="3:23" s="10" customFormat="1" ht="22.5" customHeight="1" x14ac:dyDescent="0.35">
      <c r="C31" s="12">
        <v>56404</v>
      </c>
      <c r="D31" s="167" t="s">
        <v>95</v>
      </c>
      <c r="E31" s="161">
        <v>39.17</v>
      </c>
      <c r="F31" s="13" t="s">
        <v>41</v>
      </c>
      <c r="G31" s="28">
        <v>0</v>
      </c>
      <c r="H31" s="14" t="s">
        <v>40</v>
      </c>
      <c r="I31" s="42">
        <v>114</v>
      </c>
      <c r="J31" s="60"/>
      <c r="K31" s="90">
        <f>MROUND(Table419[[#This Row],[Servings Needed]],114)</f>
        <v>0</v>
      </c>
      <c r="L31" s="88">
        <f>Table419[[#This Row],[Svg. Rounded by Case]]/Table419[[#This Row],[Avg. Servings Per Case]]</f>
        <v>0</v>
      </c>
      <c r="M31" s="93">
        <f>Table419[[#This Row],[Finished Cases]]*Table419[[#This Row],[Avg. Servings Per Case]]</f>
        <v>0</v>
      </c>
      <c r="N31" s="32">
        <f>Table419[[#This Row],[Finished Cases]]*Table419[[#This Row],[DF $ Value Per Case]]</f>
        <v>0</v>
      </c>
      <c r="O31" s="61">
        <f>Table419[[#This Row],[Finished Cases]]*26.28</f>
        <v>0</v>
      </c>
      <c r="P31" s="210"/>
    </row>
    <row r="32" spans="3:23" s="10" customFormat="1" ht="22.5" customHeight="1" x14ac:dyDescent="0.35">
      <c r="C32" s="12">
        <v>54485</v>
      </c>
      <c r="D32" s="167" t="s">
        <v>96</v>
      </c>
      <c r="E32" s="161">
        <v>30.55</v>
      </c>
      <c r="F32" s="13" t="s">
        <v>32</v>
      </c>
      <c r="G32" s="28">
        <v>0</v>
      </c>
      <c r="H32" s="14" t="s">
        <v>37</v>
      </c>
      <c r="I32" s="42">
        <v>76</v>
      </c>
      <c r="J32" s="60"/>
      <c r="K32" s="90">
        <f>MROUND(Table419[[#This Row],[Servings Needed]],76)</f>
        <v>0</v>
      </c>
      <c r="L32" s="88">
        <f>Table419[[#This Row],[Svg. Rounded by Case]]/Table419[[#This Row],[Avg. Servings Per Case]]</f>
        <v>0</v>
      </c>
      <c r="M32" s="93">
        <f>Table419[[#This Row],[Finished Cases]]*Table419[[#This Row],[Avg. Servings Per Case]]</f>
        <v>0</v>
      </c>
      <c r="N32" s="32">
        <f>Table419[[#This Row],[Finished Cases]]*Table419[[#This Row],[DF $ Value Per Case]]</f>
        <v>0</v>
      </c>
      <c r="O32" s="61">
        <f>Table419[[#This Row],[Finished Cases]]*20.5</f>
        <v>0</v>
      </c>
      <c r="P32" s="210"/>
    </row>
    <row r="33" spans="3:18" s="10" customFormat="1" ht="22.5" customHeight="1" x14ac:dyDescent="0.35">
      <c r="C33" s="15">
        <v>54486</v>
      </c>
      <c r="D33" s="167" t="s">
        <v>97</v>
      </c>
      <c r="E33" s="161">
        <v>30.55</v>
      </c>
      <c r="F33" s="13" t="s">
        <v>32</v>
      </c>
      <c r="G33" s="29">
        <v>0</v>
      </c>
      <c r="H33" s="16" t="s">
        <v>33</v>
      </c>
      <c r="I33" s="30">
        <v>78</v>
      </c>
      <c r="J33" s="60"/>
      <c r="K33" s="90">
        <f>MROUND(Table419[[#This Row],[Servings Needed]],78)</f>
        <v>0</v>
      </c>
      <c r="L33" s="89">
        <f>Table419[[#This Row],[Svg. Rounded by Case]]/Table419[[#This Row],[Avg. Servings Per Case]]</f>
        <v>0</v>
      </c>
      <c r="M33" s="93">
        <f>Table419[[#This Row],[Finished Cases]]*Table419[[#This Row],[Avg. Servings Per Case]]</f>
        <v>0</v>
      </c>
      <c r="N33" s="32">
        <f>Table419[[#This Row],[Finished Cases]]*Table419[[#This Row],[DF $ Value Per Case]]</f>
        <v>0</v>
      </c>
      <c r="O33" s="61">
        <f>Table419[[#This Row],[Finished Cases]]*20.5</f>
        <v>0</v>
      </c>
      <c r="P33" s="211"/>
    </row>
    <row r="34" spans="3:18" s="10" customFormat="1" ht="22.5" customHeight="1" x14ac:dyDescent="0.35">
      <c r="C34" s="15">
        <v>54487</v>
      </c>
      <c r="D34" s="167" t="s">
        <v>98</v>
      </c>
      <c r="E34" s="161">
        <v>30.55</v>
      </c>
      <c r="F34" s="13" t="s">
        <v>32</v>
      </c>
      <c r="G34" s="29">
        <v>0</v>
      </c>
      <c r="H34" s="16" t="s">
        <v>38</v>
      </c>
      <c r="I34" s="30">
        <v>76</v>
      </c>
      <c r="J34" s="60"/>
      <c r="K34" s="90">
        <f>MROUND(Table419[[#This Row],[Servings Needed]],76)</f>
        <v>0</v>
      </c>
      <c r="L34" s="89">
        <f>Table419[[#This Row],[Svg. Rounded by Case]]/Table419[[#This Row],[Avg. Servings Per Case]]</f>
        <v>0</v>
      </c>
      <c r="M34" s="93">
        <f>Table419[[#This Row],[Finished Cases]]*Table419[[#This Row],[Avg. Servings Per Case]]</f>
        <v>0</v>
      </c>
      <c r="N34" s="32">
        <f>Table419[[#This Row],[Finished Cases]]*Table419[[#This Row],[DF $ Value Per Case]]</f>
        <v>0</v>
      </c>
      <c r="O34" s="61">
        <f>Table419[[#This Row],[Finished Cases]]*20.5</f>
        <v>0</v>
      </c>
      <c r="P34" s="211"/>
    </row>
    <row r="35" spans="3:18" s="10" customFormat="1" ht="22.5" customHeight="1" x14ac:dyDescent="0.35">
      <c r="C35" s="15">
        <v>54496</v>
      </c>
      <c r="D35" s="167" t="s">
        <v>114</v>
      </c>
      <c r="E35" s="161">
        <v>30.55</v>
      </c>
      <c r="F35" s="13" t="s">
        <v>32</v>
      </c>
      <c r="G35" s="29">
        <v>0</v>
      </c>
      <c r="H35" s="16" t="s">
        <v>33</v>
      </c>
      <c r="I35" s="30">
        <v>78</v>
      </c>
      <c r="J35" s="60"/>
      <c r="K35" s="90">
        <f>MROUND(Table419[[#This Row],[Servings Needed]],78)</f>
        <v>0</v>
      </c>
      <c r="L35" s="89">
        <f>Table419[[#This Row],[Svg. Rounded by Case]]/Table419[[#This Row],[Avg. Servings Per Case]]</f>
        <v>0</v>
      </c>
      <c r="M35" s="93">
        <f>Table419[[#This Row],[Finished Cases]]*Table419[[#This Row],[Avg. Servings Per Case]]</f>
        <v>0</v>
      </c>
      <c r="N35" s="32">
        <f>Table419[[#This Row],[Finished Cases]]*Table419[[#This Row],[DF $ Value Per Case]]</f>
        <v>0</v>
      </c>
      <c r="O35" s="61">
        <f>Table419[[#This Row],[Finished Cases]]*20.5</f>
        <v>0</v>
      </c>
      <c r="P35" s="211"/>
    </row>
    <row r="36" spans="3:18" s="10" customFormat="1" ht="22.5" customHeight="1" x14ac:dyDescent="0.35">
      <c r="C36" s="15">
        <v>54497</v>
      </c>
      <c r="D36" s="167" t="s">
        <v>115</v>
      </c>
      <c r="E36" s="161">
        <v>30.55</v>
      </c>
      <c r="F36" s="13" t="s">
        <v>32</v>
      </c>
      <c r="G36" s="29">
        <v>0</v>
      </c>
      <c r="H36" s="16" t="s">
        <v>39</v>
      </c>
      <c r="I36" s="30">
        <v>77</v>
      </c>
      <c r="J36" s="60"/>
      <c r="K36" s="90">
        <f>MROUND(Table419[[#This Row],[Servings Needed]],77)</f>
        <v>0</v>
      </c>
      <c r="L36" s="89">
        <f>Table419[[#This Row],[Svg. Rounded by Case]]/Table419[[#This Row],[Avg. Servings Per Case]]</f>
        <v>0</v>
      </c>
      <c r="M36" s="93">
        <f>Table419[[#This Row],[Finished Cases]]*Table419[[#This Row],[Avg. Servings Per Case]]</f>
        <v>0</v>
      </c>
      <c r="N36" s="32">
        <f>Table419[[#This Row],[Finished Cases]]*Table419[[#This Row],[DF $ Value Per Case]]</f>
        <v>0</v>
      </c>
      <c r="O36" s="61">
        <f>Table419[[#This Row],[Finished Cases]]*20.5</f>
        <v>0</v>
      </c>
      <c r="P36" s="211"/>
    </row>
    <row r="37" spans="3:18" s="10" customFormat="1" ht="22.5" customHeight="1" x14ac:dyDescent="0.35">
      <c r="C37" s="196"/>
      <c r="D37" s="197"/>
      <c r="E37" s="197"/>
      <c r="F37" s="197"/>
      <c r="G37" s="197"/>
      <c r="H37" s="198"/>
      <c r="I37" s="199"/>
      <c r="J37" s="213"/>
      <c r="K37" s="160"/>
      <c r="L37" s="160">
        <f>SUBTOTAL(109,Table419[Finished Cases])</f>
        <v>0</v>
      </c>
      <c r="M37" s="194">
        <f>SUBTOTAL(109,Table419[Total Servings])</f>
        <v>0</v>
      </c>
      <c r="N37" s="214">
        <f>SUBTOTAL(109,Table419[DF $ Value])</f>
        <v>0</v>
      </c>
      <c r="O37" s="215">
        <f>SUBTOTAL(109,Table419[DF Pounds WHITE])</f>
        <v>0</v>
      </c>
      <c r="P37" s="216"/>
    </row>
    <row r="38" spans="3:18" ht="19.5" customHeight="1" x14ac:dyDescent="0.45">
      <c r="C38" s="105"/>
      <c r="D38" s="106"/>
      <c r="E38" s="106"/>
      <c r="F38" s="106"/>
      <c r="G38" s="106"/>
      <c r="H38" s="107"/>
      <c r="I38" s="108"/>
      <c r="J38" s="108"/>
      <c r="K38" s="108"/>
      <c r="L38" s="118"/>
      <c r="M38" s="126"/>
      <c r="N38" s="122"/>
      <c r="O38" s="123"/>
      <c r="P38" s="124"/>
      <c r="Q38" s="5"/>
    </row>
    <row r="39" spans="3:18" s="10" customFormat="1" ht="45" customHeight="1" x14ac:dyDescent="0.45">
      <c r="C39" s="73" t="s">
        <v>83</v>
      </c>
      <c r="D39" s="73"/>
      <c r="E39" s="129"/>
      <c r="F39" s="129"/>
      <c r="G39" s="76"/>
      <c r="H39" s="74"/>
      <c r="I39" s="129"/>
      <c r="J39" s="129"/>
      <c r="K39" s="76" t="s">
        <v>119</v>
      </c>
      <c r="L39" s="74">
        <f>Table204[Dark Servings Rounded to nearest Case]</f>
        <v>0</v>
      </c>
      <c r="M39" s="3"/>
      <c r="N39" s="3"/>
      <c r="O39" s="76" t="s">
        <v>118</v>
      </c>
      <c r="P39" s="74">
        <f>Table206[Dark Servings Rounded to nearest Case]</f>
        <v>0</v>
      </c>
      <c r="Q39" s="5"/>
    </row>
    <row r="40" spans="3:18" s="10" customFormat="1" ht="45" customHeight="1" x14ac:dyDescent="0.45">
      <c r="C40" s="73"/>
      <c r="D40" s="73"/>
      <c r="E40" s="129"/>
      <c r="F40" s="129"/>
      <c r="G40" s="129"/>
      <c r="H40" s="129"/>
      <c r="I40" s="129"/>
      <c r="J40" s="129"/>
      <c r="K40" s="76" t="s">
        <v>120</v>
      </c>
      <c r="L40" s="74">
        <f>Table20[Dark Servings Rounded to nearest Case]</f>
        <v>0</v>
      </c>
      <c r="M40" s="3"/>
      <c r="N40" s="3"/>
      <c r="O40" s="77" t="s">
        <v>137</v>
      </c>
      <c r="P40" s="74">
        <f>Table2067[Dark Servings Rounded to nearest Case]</f>
        <v>0</v>
      </c>
      <c r="Q40" s="5"/>
    </row>
    <row r="41" spans="3:18" ht="80.150000000000006" customHeight="1" x14ac:dyDescent="0.35">
      <c r="C41" s="50" t="s">
        <v>0</v>
      </c>
      <c r="D41" s="51" t="s">
        <v>1</v>
      </c>
      <c r="E41" s="51" t="s">
        <v>5</v>
      </c>
      <c r="F41" s="51" t="s">
        <v>9</v>
      </c>
      <c r="G41" s="51" t="s">
        <v>8</v>
      </c>
      <c r="H41" s="51" t="s">
        <v>2</v>
      </c>
      <c r="I41" s="50" t="s">
        <v>6</v>
      </c>
      <c r="J41" s="50" t="s">
        <v>12</v>
      </c>
      <c r="K41" s="50" t="s">
        <v>16</v>
      </c>
      <c r="L41" s="50" t="s">
        <v>20</v>
      </c>
      <c r="M41" s="50" t="s">
        <v>3</v>
      </c>
      <c r="N41" s="50" t="s">
        <v>7</v>
      </c>
      <c r="O41" s="50" t="s">
        <v>10</v>
      </c>
      <c r="P41" s="50" t="s">
        <v>11</v>
      </c>
    </row>
    <row r="42" spans="3:18" s="10" customFormat="1" ht="22.5" customHeight="1" x14ac:dyDescent="0.35">
      <c r="C42" s="15">
        <v>81401</v>
      </c>
      <c r="D42" s="167" t="s">
        <v>99</v>
      </c>
      <c r="E42" s="82">
        <v>79.430000000000007</v>
      </c>
      <c r="F42" s="25"/>
      <c r="G42" s="19" t="s">
        <v>47</v>
      </c>
      <c r="H42" s="16" t="s">
        <v>48</v>
      </c>
      <c r="I42" s="20">
        <v>232</v>
      </c>
      <c r="J42" s="60"/>
      <c r="K42" s="90">
        <f>MROUND(Table52022[[#This Row],[Servings Needed]],232)</f>
        <v>0</v>
      </c>
      <c r="L42" s="90">
        <f>K42/I42</f>
        <v>0</v>
      </c>
      <c r="M42" s="91">
        <f>Table52022[[#This Row],[Finished Cases]]*Table52022[[#This Row],[Avg. Servings Per Case]]</f>
        <v>0</v>
      </c>
      <c r="N42" s="21">
        <f>Table52022[[#This Row],[Finished Cases]]*Table52022[[#This Row],[DF $ Value Per Case]]</f>
        <v>0</v>
      </c>
      <c r="O42" s="26"/>
      <c r="P42" s="26">
        <f>Table52022[[#This Row],[Finished Cases]]*53.3</f>
        <v>0</v>
      </c>
    </row>
    <row r="43" spans="3:18" s="10" customFormat="1" ht="22.5" customHeight="1" x14ac:dyDescent="0.35">
      <c r="C43" s="15">
        <v>94403</v>
      </c>
      <c r="D43" s="167" t="s">
        <v>100</v>
      </c>
      <c r="E43" s="82">
        <v>47.39</v>
      </c>
      <c r="F43" s="25"/>
      <c r="G43" s="86" t="s">
        <v>49</v>
      </c>
      <c r="H43" s="16" t="s">
        <v>140</v>
      </c>
      <c r="I43" s="20">
        <v>78</v>
      </c>
      <c r="J43" s="60"/>
      <c r="K43" s="90">
        <f>MROUND(Table52022[[#This Row],[Servings Needed]],78)</f>
        <v>0</v>
      </c>
      <c r="L43" s="90">
        <f>K43/I43</f>
        <v>0</v>
      </c>
      <c r="M43" s="91">
        <f>Table52022[[#This Row],[Finished Cases]]*Table52022[[#This Row],[Avg. Servings Per Case]]</f>
        <v>0</v>
      </c>
      <c r="N43" s="21">
        <f>Table52022[[#This Row],[Finished Cases]]*Table52022[[#This Row],[DF $ Value Per Case]]</f>
        <v>0</v>
      </c>
      <c r="O43" s="26"/>
      <c r="P43" s="26">
        <f>Table52022[[#This Row],[Finished Cases]]*31.8</f>
        <v>0</v>
      </c>
      <c r="R43" s="11"/>
    </row>
    <row r="44" spans="3:18" s="10" customFormat="1" ht="22.5" customHeight="1" x14ac:dyDescent="0.35">
      <c r="C44" s="15">
        <v>91401</v>
      </c>
      <c r="D44" s="167" t="s">
        <v>101</v>
      </c>
      <c r="E44" s="134">
        <v>58.52</v>
      </c>
      <c r="F44" s="25"/>
      <c r="G44" s="19" t="s">
        <v>45</v>
      </c>
      <c r="H44" s="16" t="s">
        <v>44</v>
      </c>
      <c r="I44" s="20">
        <v>123</v>
      </c>
      <c r="J44" s="60"/>
      <c r="K44" s="90">
        <f>MROUND(Table52022[[#This Row],[Servings Needed]],123)</f>
        <v>0</v>
      </c>
      <c r="L44" s="90">
        <f>K44/I44</f>
        <v>0</v>
      </c>
      <c r="M44" s="91">
        <f>Table52022[[#This Row],[Finished Cases]]*Table52022[[#This Row],[Avg. Servings Per Case]]</f>
        <v>0</v>
      </c>
      <c r="N44" s="21">
        <f>Table52022[[#This Row],[Finished Cases]]*Table52022[[#This Row],[DF $ Value Per Case]]</f>
        <v>0</v>
      </c>
      <c r="O44" s="26"/>
      <c r="P44" s="26">
        <f>Table52022[[#This Row],[Finished Cases]]*39.27</f>
        <v>0</v>
      </c>
      <c r="Q44" s="11"/>
    </row>
    <row r="45" spans="3:18" s="10" customFormat="1" ht="22.5" customHeight="1" x14ac:dyDescent="0.35">
      <c r="C45" s="15">
        <v>91402</v>
      </c>
      <c r="D45" s="167" t="s">
        <v>102</v>
      </c>
      <c r="E45" s="130">
        <v>57.51</v>
      </c>
      <c r="F45" s="25"/>
      <c r="G45" s="86" t="s">
        <v>46</v>
      </c>
      <c r="H45" s="16" t="s">
        <v>44</v>
      </c>
      <c r="I45" s="20">
        <v>123</v>
      </c>
      <c r="J45" s="60"/>
      <c r="K45" s="90">
        <f>MROUND(Table52022[[#This Row],[Servings Needed]],123)</f>
        <v>0</v>
      </c>
      <c r="L45" s="90">
        <f>K45/I45</f>
        <v>0</v>
      </c>
      <c r="M45" s="91">
        <f>Table52022[[#This Row],[Finished Cases]]*Table52022[[#This Row],[Avg. Servings Per Case]]</f>
        <v>0</v>
      </c>
      <c r="N45" s="21">
        <f>Table52022[[#This Row],[Finished Cases]]*Table52022[[#This Row],[DF $ Value Per Case]]</f>
        <v>0</v>
      </c>
      <c r="O45" s="26"/>
      <c r="P45" s="26">
        <f>Table52022[[#This Row],[Finished Cases]]*38.59</f>
        <v>0</v>
      </c>
      <c r="Q45" s="11"/>
    </row>
    <row r="46" spans="3:18" s="10" customFormat="1" ht="22.5" customHeight="1" x14ac:dyDescent="0.35">
      <c r="C46" s="15">
        <v>91409</v>
      </c>
      <c r="D46" s="167" t="s">
        <v>103</v>
      </c>
      <c r="E46" s="134">
        <v>58.52</v>
      </c>
      <c r="F46" s="25"/>
      <c r="G46" s="19" t="s">
        <v>45</v>
      </c>
      <c r="H46" s="16" t="s">
        <v>43</v>
      </c>
      <c r="I46" s="20">
        <v>123</v>
      </c>
      <c r="J46" s="60"/>
      <c r="K46" s="90">
        <f>MROUND(Table52022[[#This Row],[Servings Needed]],123)</f>
        <v>0</v>
      </c>
      <c r="L46" s="90">
        <f>Table52022[[#This Row],[Svg. Rounded by Case]]/Table52022[[#This Row],[Avg. Servings Per Case]]</f>
        <v>0</v>
      </c>
      <c r="M46" s="91">
        <f>Table52022[[#This Row],[Finished Cases]]*Table52022[[#This Row],[Avg. Servings Per Case]]</f>
        <v>0</v>
      </c>
      <c r="N46" s="21">
        <f>Table52022[[#This Row],[Finished Cases]]*Table52022[[#This Row],[DF $ Value Per Case]]</f>
        <v>0</v>
      </c>
      <c r="O46" s="26"/>
      <c r="P46" s="26">
        <f>Table52022[[#This Row],[Finished Cases]]*39.27</f>
        <v>0</v>
      </c>
    </row>
    <row r="47" spans="3:18" s="10" customFormat="1" ht="22.5" hidden="1" customHeight="1" x14ac:dyDescent="0.35">
      <c r="C47" s="15">
        <v>91410</v>
      </c>
      <c r="D47" s="167" t="s">
        <v>104</v>
      </c>
      <c r="E47" s="130">
        <v>54.41</v>
      </c>
      <c r="F47" s="25"/>
      <c r="G47" s="86" t="s">
        <v>46</v>
      </c>
      <c r="H47" s="16" t="s">
        <v>43</v>
      </c>
      <c r="I47" s="20">
        <v>123</v>
      </c>
      <c r="J47" s="60"/>
      <c r="K47" s="90">
        <f>MROUND(Table52022[[#This Row],[Servings Needed]],123)</f>
        <v>0</v>
      </c>
      <c r="L47" s="90">
        <f>Table52022[[#This Row],[Svg. Rounded by Case]]/Table52022[[#This Row],[Avg. Servings Per Case]]</f>
        <v>0</v>
      </c>
      <c r="M47" s="91">
        <f>Table52022[[#This Row],[Finished Cases]]*Table52022[[#This Row],[Avg. Servings Per Case]]</f>
        <v>0</v>
      </c>
      <c r="N47" s="21">
        <f>Table52022[[#This Row],[Finished Cases]]*Table52022[[#This Row],[DF $ Value Per Case]]</f>
        <v>0</v>
      </c>
      <c r="O47" s="26"/>
      <c r="P47" s="26">
        <f>Table52022[[#This Row],[Finished Cases]]*38.59</f>
        <v>0</v>
      </c>
    </row>
    <row r="48" spans="3:18" s="10" customFormat="1" ht="22.5" customHeight="1" x14ac:dyDescent="0.35">
      <c r="C48" s="196"/>
      <c r="D48" s="197"/>
      <c r="E48" s="197"/>
      <c r="F48" s="197"/>
      <c r="G48" s="197"/>
      <c r="H48" s="198"/>
      <c r="I48" s="199"/>
      <c r="J48" s="199"/>
      <c r="K48" s="199"/>
      <c r="L48" s="207">
        <f>SUBTOTAL(109,Table52022[Finished Cases])</f>
        <v>0</v>
      </c>
      <c r="M48" s="194">
        <f>SUBTOTAL(109,Table52022[Total Servings])</f>
        <v>0</v>
      </c>
      <c r="N48" s="208">
        <f>SUBTOTAL(109,Table52022[DF $ Value])</f>
        <v>0</v>
      </c>
      <c r="O48" s="209"/>
      <c r="P48" s="209">
        <f>SUBTOTAL(109,Table52022[DF Pounds DARK])</f>
        <v>0</v>
      </c>
    </row>
    <row r="49" spans="3:27" ht="19.5" customHeight="1" x14ac:dyDescent="0.45">
      <c r="C49" s="105"/>
      <c r="D49" s="106"/>
      <c r="E49" s="106"/>
      <c r="F49" s="106"/>
      <c r="G49" s="106"/>
      <c r="H49" s="107"/>
      <c r="I49" s="108"/>
      <c r="J49" s="108"/>
      <c r="K49" s="108"/>
      <c r="L49" s="118"/>
      <c r="M49" s="126"/>
      <c r="N49" s="127"/>
      <c r="O49" s="125"/>
      <c r="P49" s="125"/>
    </row>
    <row r="50" spans="3:27" ht="41.25" customHeight="1" x14ac:dyDescent="0.35">
      <c r="C50" s="84" t="s">
        <v>31</v>
      </c>
      <c r="D50" s="84"/>
      <c r="E50" s="84"/>
      <c r="F50" s="84"/>
      <c r="G50" s="63"/>
      <c r="H50" s="63"/>
      <c r="I50" s="66"/>
      <c r="J50" s="85"/>
      <c r="K50" s="63"/>
      <c r="L50" s="63"/>
      <c r="M50" s="27"/>
      <c r="N50" s="57"/>
      <c r="O50" s="57"/>
      <c r="P50" s="57"/>
    </row>
    <row r="51" spans="3:27" s="1" customFormat="1" ht="80.150000000000006" customHeight="1" x14ac:dyDescent="0.35">
      <c r="C51" s="48" t="s">
        <v>0</v>
      </c>
      <c r="D51" s="49" t="s">
        <v>1</v>
      </c>
      <c r="E51" s="49" t="s">
        <v>5</v>
      </c>
      <c r="F51" s="49" t="s">
        <v>9</v>
      </c>
      <c r="G51" s="49" t="s">
        <v>8</v>
      </c>
      <c r="H51" s="49" t="s">
        <v>2</v>
      </c>
      <c r="I51" s="48" t="s">
        <v>6</v>
      </c>
      <c r="J51" s="48" t="s">
        <v>12</v>
      </c>
      <c r="K51" s="48" t="s">
        <v>16</v>
      </c>
      <c r="L51" s="48" t="s">
        <v>20</v>
      </c>
      <c r="M51" s="48" t="s">
        <v>3</v>
      </c>
      <c r="N51" s="48" t="s">
        <v>7</v>
      </c>
      <c r="O51" s="48" t="s">
        <v>10</v>
      </c>
      <c r="P51" s="48" t="s">
        <v>11</v>
      </c>
    </row>
    <row r="52" spans="3:27" s="11" customFormat="1" ht="22.5" customHeight="1" x14ac:dyDescent="0.35">
      <c r="C52" s="15">
        <v>54405</v>
      </c>
      <c r="D52" s="167" t="s">
        <v>134</v>
      </c>
      <c r="E52" s="19">
        <v>33.93</v>
      </c>
      <c r="F52" s="193" t="s">
        <v>135</v>
      </c>
      <c r="G52" s="193" t="s">
        <v>136</v>
      </c>
      <c r="H52" s="16" t="s">
        <v>34</v>
      </c>
      <c r="I52" s="20">
        <v>156</v>
      </c>
      <c r="J52" s="60"/>
      <c r="K52" s="90">
        <f>MROUND(Table520[[#This Row],[Servings Needed]],156)</f>
        <v>0</v>
      </c>
      <c r="L52" s="90">
        <f>Table520[[#This Row],[Svg. Rounded by Case]]/Table520[[#This Row],[Avg. Servings Per Case]]</f>
        <v>0</v>
      </c>
      <c r="M52" s="91">
        <f>Table520[[#This Row],[Finished Cases]]*Table520[[#This Row],[Avg. Servings Per Case]]</f>
        <v>0</v>
      </c>
      <c r="N52" s="21">
        <f>Table520[[#This Row],[Finished Cases]]*Table520[[#This Row],[DF $ Value Per Case]]</f>
        <v>0</v>
      </c>
      <c r="O52" s="92">
        <f>Table520[[#This Row],[Finished Cases]]*15.69</f>
        <v>0</v>
      </c>
      <c r="P52" s="92">
        <f>Table520[[#This Row],[Finished Cases]]*7.08</f>
        <v>0</v>
      </c>
    </row>
    <row r="53" spans="3:27" s="11" customFormat="1" ht="22.5" customHeight="1" x14ac:dyDescent="0.35">
      <c r="C53" s="15">
        <v>54409</v>
      </c>
      <c r="D53" s="167" t="s">
        <v>105</v>
      </c>
      <c r="E53" s="19">
        <v>19.98</v>
      </c>
      <c r="F53" s="19" t="s">
        <v>51</v>
      </c>
      <c r="G53" s="19" t="s">
        <v>52</v>
      </c>
      <c r="H53" s="16" t="s">
        <v>54</v>
      </c>
      <c r="I53" s="20">
        <v>107</v>
      </c>
      <c r="J53" s="60"/>
      <c r="K53" s="90">
        <f>MROUND(Table520[[#This Row],[Servings Needed]],107)</f>
        <v>0</v>
      </c>
      <c r="L53" s="90">
        <f>Table520[[#This Row],[Svg. Rounded by Case]]/Table520[[#This Row],[Avg. Servings Per Case]]</f>
        <v>0</v>
      </c>
      <c r="M53" s="91">
        <f>Table520[[#This Row],[Finished Cases]]*Table520[[#This Row],[Avg. Servings Per Case]]</f>
        <v>0</v>
      </c>
      <c r="N53" s="21">
        <f>Table520[[#This Row],[Finished Cases]]*Table520[[#This Row],[DF $ Value Per Case]]</f>
        <v>0</v>
      </c>
      <c r="O53" s="92">
        <f>Table520[[#This Row],[Finished Cases]]*9.24</f>
        <v>0</v>
      </c>
      <c r="P53" s="92">
        <f>Table520[[#This Row],[Finished Cases]]*4.17</f>
        <v>0</v>
      </c>
    </row>
    <row r="54" spans="3:27" s="11" customFormat="1" ht="22.5" customHeight="1" x14ac:dyDescent="0.35">
      <c r="C54" s="15">
        <v>54410</v>
      </c>
      <c r="D54" s="167" t="s">
        <v>106</v>
      </c>
      <c r="E54" s="19">
        <v>19.98</v>
      </c>
      <c r="F54" s="19" t="s">
        <v>51</v>
      </c>
      <c r="G54" s="19" t="s">
        <v>52</v>
      </c>
      <c r="H54" s="16" t="s">
        <v>53</v>
      </c>
      <c r="I54" s="20">
        <v>107</v>
      </c>
      <c r="J54" s="60"/>
      <c r="K54" s="90">
        <f>MROUND(Table520[[#This Row],[Servings Needed]],107)</f>
        <v>0</v>
      </c>
      <c r="L54" s="90">
        <f>Table520[[#This Row],[Svg. Rounded by Case]]/Table520[[#This Row],[Avg. Servings Per Case]]</f>
        <v>0</v>
      </c>
      <c r="M54" s="91">
        <f>Table520[[#This Row],[Finished Cases]]*Table520[[#This Row],[Avg. Servings Per Case]]</f>
        <v>0</v>
      </c>
      <c r="N54" s="21">
        <f>Table520[[#This Row],[Finished Cases]]*Table520[[#This Row],[DF $ Value Per Case]]</f>
        <v>0</v>
      </c>
      <c r="O54" s="92">
        <f>Table520[[#This Row],[Finished Cases]]*9.24</f>
        <v>0</v>
      </c>
      <c r="P54" s="92">
        <f>Table520[[#This Row],[Finished Cases]]*4.17</f>
        <v>0</v>
      </c>
    </row>
    <row r="55" spans="3:27" s="11" customFormat="1" ht="22.5" customHeight="1" x14ac:dyDescent="0.35">
      <c r="C55" s="15">
        <v>54411</v>
      </c>
      <c r="D55" s="167" t="s">
        <v>107</v>
      </c>
      <c r="E55" s="19">
        <v>19.98</v>
      </c>
      <c r="F55" s="19" t="s">
        <v>51</v>
      </c>
      <c r="G55" s="19" t="s">
        <v>52</v>
      </c>
      <c r="H55" s="16" t="s">
        <v>55</v>
      </c>
      <c r="I55" s="20">
        <v>214</v>
      </c>
      <c r="J55" s="60"/>
      <c r="K55" s="90">
        <f>MROUND(Table520[[#This Row],[Servings Needed]],214)</f>
        <v>0</v>
      </c>
      <c r="L55" s="90">
        <f>Table520[[#This Row],[Svg. Rounded by Case]]/Table520[[#This Row],[Avg. Servings Per Case]]</f>
        <v>0</v>
      </c>
      <c r="M55" s="91">
        <f>Table520[[#This Row],[Finished Cases]]*Table520[[#This Row],[Avg. Servings Per Case]]</f>
        <v>0</v>
      </c>
      <c r="N55" s="21">
        <f>Table520[[#This Row],[Finished Cases]]*Table520[[#This Row],[DF $ Value Per Case]]</f>
        <v>0</v>
      </c>
      <c r="O55" s="92">
        <f>Table520[[#This Row],[Finished Cases]]*9.24</f>
        <v>0</v>
      </c>
      <c r="P55" s="92">
        <f>Table520[[#This Row],[Finished Cases]]*4.17</f>
        <v>0</v>
      </c>
      <c r="Y55" s="10"/>
      <c r="Z55" s="10"/>
    </row>
    <row r="56" spans="3:27" s="11" customFormat="1" ht="22.5" customHeight="1" x14ac:dyDescent="0.35">
      <c r="C56" s="15">
        <v>54453</v>
      </c>
      <c r="D56" s="167" t="s">
        <v>108</v>
      </c>
      <c r="E56" s="19">
        <v>19.98</v>
      </c>
      <c r="F56" s="19" t="s">
        <v>51</v>
      </c>
      <c r="G56" s="19" t="s">
        <v>52</v>
      </c>
      <c r="H56" s="16" t="s">
        <v>57</v>
      </c>
      <c r="I56" s="20">
        <v>107</v>
      </c>
      <c r="J56" s="60"/>
      <c r="K56" s="90">
        <f>MROUND(Table520[[#This Row],[Servings Needed]],107)</f>
        <v>0</v>
      </c>
      <c r="L56" s="90">
        <f>Table520[[#This Row],[Svg. Rounded by Case]]/Table520[[#This Row],[Avg. Servings Per Case]]</f>
        <v>0</v>
      </c>
      <c r="M56" s="91">
        <f>Table520[[#This Row],[Finished Cases]]*Table520[[#This Row],[Avg. Servings Per Case]]</f>
        <v>0</v>
      </c>
      <c r="N56" s="21">
        <f>Table520[[#This Row],[Finished Cases]]*Table520[[#This Row],[DF $ Value Per Case]]</f>
        <v>0</v>
      </c>
      <c r="O56" s="92">
        <f>Table520[[#This Row],[Finished Cases]]*9.24</f>
        <v>0</v>
      </c>
      <c r="P56" s="92">
        <f>Table520[[#This Row],[Finished Cases]]*4.17</f>
        <v>0</v>
      </c>
      <c r="Y56" s="10"/>
    </row>
    <row r="57" spans="3:27" s="11" customFormat="1" ht="22.5" customHeight="1" x14ac:dyDescent="0.35">
      <c r="C57" s="15">
        <v>54463</v>
      </c>
      <c r="D57" s="167" t="s">
        <v>109</v>
      </c>
      <c r="E57" s="19">
        <v>19.98</v>
      </c>
      <c r="F57" s="19" t="s">
        <v>51</v>
      </c>
      <c r="G57" s="19" t="s">
        <v>52</v>
      </c>
      <c r="H57" s="16" t="s">
        <v>56</v>
      </c>
      <c r="I57" s="20">
        <v>107</v>
      </c>
      <c r="J57" s="60"/>
      <c r="K57" s="90">
        <f>MROUND(Table520[[#This Row],[Servings Needed]],107)</f>
        <v>0</v>
      </c>
      <c r="L57" s="90">
        <f>Table520[[#This Row],[Svg. Rounded by Case]]/Table520[[#This Row],[Avg. Servings Per Case]]</f>
        <v>0</v>
      </c>
      <c r="M57" s="91">
        <f>Table520[[#This Row],[Finished Cases]]*Table520[[#This Row],[Avg. Servings Per Case]]</f>
        <v>0</v>
      </c>
      <c r="N57" s="21">
        <f>Table520[[#This Row],[Finished Cases]]*Table520[[#This Row],[DF $ Value Per Case]]</f>
        <v>0</v>
      </c>
      <c r="O57" s="92">
        <f>Table520[[#This Row],[Finished Cases]]*9.24</f>
        <v>0</v>
      </c>
      <c r="P57" s="92">
        <f>Table520[[#This Row],[Finished Cases]]*4.17</f>
        <v>0</v>
      </c>
      <c r="Y57" s="10"/>
    </row>
    <row r="58" spans="3:27" s="11" customFormat="1" ht="22.5" customHeight="1" x14ac:dyDescent="0.35">
      <c r="C58" s="15">
        <v>54464</v>
      </c>
      <c r="D58" s="167" t="s">
        <v>116</v>
      </c>
      <c r="E58" s="19">
        <v>19.98</v>
      </c>
      <c r="F58" s="19" t="s">
        <v>51</v>
      </c>
      <c r="G58" s="19" t="s">
        <v>52</v>
      </c>
      <c r="H58" s="16" t="s">
        <v>56</v>
      </c>
      <c r="I58" s="20">
        <v>107</v>
      </c>
      <c r="J58" s="60"/>
      <c r="K58" s="90">
        <f>MROUND(Table520[[#This Row],[Servings Needed]],107)</f>
        <v>0</v>
      </c>
      <c r="L58" s="90">
        <f>Table520[[#This Row],[Svg. Rounded by Case]]/Table520[[#This Row],[Avg. Servings Per Case]]</f>
        <v>0</v>
      </c>
      <c r="M58" s="91">
        <f>Table520[[#This Row],[Finished Cases]]*Table520[[#This Row],[Avg. Servings Per Case]]</f>
        <v>0</v>
      </c>
      <c r="N58" s="21">
        <f>Table520[[#This Row],[Finished Cases]]*Table520[[#This Row],[DF $ Value Per Case]]</f>
        <v>0</v>
      </c>
      <c r="O58" s="92">
        <f>Table520[[#This Row],[Finished Cases]]*9.24</f>
        <v>0</v>
      </c>
      <c r="P58" s="92">
        <f>Table520[[#This Row],[Finished Cases]]*4.17</f>
        <v>0</v>
      </c>
      <c r="Y58" s="10"/>
    </row>
    <row r="59" spans="3:27" s="11" customFormat="1" ht="22.5" customHeight="1" x14ac:dyDescent="0.35">
      <c r="C59" s="196"/>
      <c r="D59" s="197"/>
      <c r="E59" s="197"/>
      <c r="F59" s="197"/>
      <c r="G59" s="197"/>
      <c r="H59" s="198"/>
      <c r="I59" s="199"/>
      <c r="J59" s="199"/>
      <c r="K59" s="203"/>
      <c r="L59" s="204">
        <f>SUBTOTAL(109,Table520[Finished Cases])</f>
        <v>0</v>
      </c>
      <c r="M59" s="205">
        <f>SUBTOTAL(109,Table520[Total Servings])</f>
        <v>0</v>
      </c>
      <c r="N59" s="201">
        <f>SUBTOTAL(109,Table520[DF $ Value])</f>
        <v>0</v>
      </c>
      <c r="O59" s="206">
        <f>SUBTOTAL(109,Table520[DF Pounds WHITE])</f>
        <v>0</v>
      </c>
      <c r="P59" s="206">
        <f>SUBTOTAL(109,Table520[DF Pounds DARK])</f>
        <v>0</v>
      </c>
      <c r="Y59" s="10"/>
    </row>
    <row r="60" spans="3:27" s="1" customFormat="1" ht="41.25" customHeight="1" x14ac:dyDescent="0.45">
      <c r="C60" s="105"/>
      <c r="D60" s="106"/>
      <c r="E60" s="106"/>
      <c r="F60" s="106"/>
      <c r="G60" s="106"/>
      <c r="H60" s="107"/>
      <c r="I60" s="108"/>
      <c r="J60" s="108"/>
      <c r="K60" s="116"/>
      <c r="L60" s="117"/>
      <c r="M60" s="151"/>
      <c r="N60" s="127"/>
      <c r="O60" s="152"/>
      <c r="P60" s="152"/>
      <c r="Y60"/>
    </row>
    <row r="61" spans="3:27" s="1" customFormat="1" ht="41.25" customHeight="1" x14ac:dyDescent="0.45">
      <c r="C61" s="173" t="s">
        <v>84</v>
      </c>
      <c r="D61" s="141"/>
      <c r="E61" s="141"/>
      <c r="F61" s="141"/>
      <c r="G61" s="141"/>
      <c r="H61" s="142"/>
      <c r="I61" s="155" t="s">
        <v>130</v>
      </c>
      <c r="J61" s="190" cm="1">
        <f t="array" ref="J61">Table206711[Dark Servings Rounded to nearest Case]</f>
        <v>0</v>
      </c>
      <c r="K61" s="145"/>
      <c r="L61" s="146"/>
      <c r="M61" s="147"/>
      <c r="N61" s="147"/>
      <c r="O61" s="155"/>
      <c r="P61" s="157"/>
      <c r="Y61"/>
    </row>
    <row r="62" spans="3:27" s="1" customFormat="1" ht="41.25" customHeight="1" x14ac:dyDescent="0.45">
      <c r="C62" s="173"/>
      <c r="D62" s="141"/>
      <c r="E62" s="141"/>
      <c r="F62" s="141"/>
      <c r="G62" s="141"/>
      <c r="H62" s="142"/>
      <c r="I62" s="155" t="s">
        <v>131</v>
      </c>
      <c r="J62" s="190" cm="1">
        <f t="array" ref="J62">Table2018[Dark Servings Rounded to nearest Case]</f>
        <v>0</v>
      </c>
      <c r="K62" s="145"/>
      <c r="L62" s="146"/>
      <c r="M62" s="147"/>
      <c r="N62" s="147"/>
      <c r="O62" s="155"/>
      <c r="P62" s="157"/>
      <c r="Q62" s="152"/>
      <c r="R62" s="152"/>
      <c r="AA62"/>
    </row>
    <row r="63" spans="3:27" s="1" customFormat="1" ht="80.150000000000006" customHeight="1" x14ac:dyDescent="0.45">
      <c r="C63" s="148" t="s">
        <v>0</v>
      </c>
      <c r="D63" s="149" t="s">
        <v>1</v>
      </c>
      <c r="E63" s="149" t="s">
        <v>5</v>
      </c>
      <c r="F63" s="149" t="s">
        <v>9</v>
      </c>
      <c r="G63" s="149" t="s">
        <v>8</v>
      </c>
      <c r="H63" s="149" t="s">
        <v>2</v>
      </c>
      <c r="I63" s="148" t="s">
        <v>6</v>
      </c>
      <c r="J63" s="148" t="s">
        <v>12</v>
      </c>
      <c r="K63" s="150" t="s">
        <v>16</v>
      </c>
      <c r="L63" s="150" t="s">
        <v>20</v>
      </c>
      <c r="M63" s="150" t="s">
        <v>3</v>
      </c>
      <c r="N63" s="150" t="s">
        <v>7</v>
      </c>
      <c r="O63" s="148" t="s">
        <v>10</v>
      </c>
      <c r="P63" s="148" t="s">
        <v>11</v>
      </c>
      <c r="Q63" s="152"/>
      <c r="R63" s="152"/>
      <c r="AA63"/>
    </row>
    <row r="64" spans="3:27" s="11" customFormat="1" ht="22.5" customHeight="1" x14ac:dyDescent="0.35">
      <c r="C64" s="15">
        <v>13424</v>
      </c>
      <c r="D64" s="167" t="s">
        <v>85</v>
      </c>
      <c r="E64" s="161">
        <v>30.55</v>
      </c>
      <c r="F64" s="13" t="s">
        <v>32</v>
      </c>
      <c r="G64" s="19"/>
      <c r="H64" s="14" t="s">
        <v>33</v>
      </c>
      <c r="I64" s="20">
        <v>78</v>
      </c>
      <c r="J64" s="70"/>
      <c r="K64" s="153">
        <f>MROUND(Table520251213[[#This Row],[Servings Needed]],78)</f>
        <v>0</v>
      </c>
      <c r="L64" s="90">
        <f>Table520251213[[#This Row],[Svg. Rounded by Case]]/Table520251213[[#This Row],[Avg. Servings Per Case]]</f>
        <v>0</v>
      </c>
      <c r="M64" s="91">
        <f>Table520251213[[#This Row],[Finished Cases]]*Table520251213[[#This Row],[Avg. Servings Per Case]]</f>
        <v>0</v>
      </c>
      <c r="N64" s="21">
        <f>Table520251213[[#This Row],[Finished Cases]]*Table520251213[[#This Row],[DF $ Value Per Case]]</f>
        <v>0</v>
      </c>
      <c r="O64" s="26">
        <f>Table520251213[[#This Row],[Finished Cases]]*20.5</f>
        <v>0</v>
      </c>
      <c r="P64" s="26"/>
      <c r="Q64" s="195"/>
      <c r="R64" s="195"/>
      <c r="AA64" s="10"/>
    </row>
    <row r="65" spans="2:27" s="11" customFormat="1" ht="22.5" customHeight="1" x14ac:dyDescent="0.35">
      <c r="C65" s="15">
        <v>13445</v>
      </c>
      <c r="D65" s="167" t="s">
        <v>117</v>
      </c>
      <c r="E65" s="161">
        <v>30.55</v>
      </c>
      <c r="F65" s="13" t="s">
        <v>32</v>
      </c>
      <c r="G65" s="19"/>
      <c r="H65" s="14" t="s">
        <v>33</v>
      </c>
      <c r="I65" s="20">
        <v>78</v>
      </c>
      <c r="J65" s="70"/>
      <c r="K65" s="153">
        <f>MROUND(Table520251213[[#This Row],[Servings Needed]],78)</f>
        <v>0</v>
      </c>
      <c r="L65" s="153">
        <f>Table520251213[[#This Row],[Svg. Rounded by Case]]/Table520251213[[#This Row],[Avg. Servings Per Case]]</f>
        <v>0</v>
      </c>
      <c r="M65" s="91">
        <f>Table520251213[[#This Row],[Finished Cases]]*Table520251213[[#This Row],[Avg. Servings Per Case]]</f>
        <v>0</v>
      </c>
      <c r="N65" s="21">
        <f>Table520251213[[#This Row],[Finished Cases]]*Table520251213[[#This Row],[DF $ Value Per Case]]</f>
        <v>0</v>
      </c>
      <c r="O65" s="26">
        <f>Table520251213[[#This Row],[Finished Cases]]*20.5</f>
        <v>0</v>
      </c>
      <c r="P65" s="26"/>
      <c r="Q65" s="195"/>
      <c r="R65" s="195"/>
      <c r="AA65" s="10"/>
    </row>
    <row r="66" spans="2:27" s="11" customFormat="1" ht="22.5" customHeight="1" x14ac:dyDescent="0.35">
      <c r="C66" s="15">
        <v>13429</v>
      </c>
      <c r="D66" s="167" t="s">
        <v>86</v>
      </c>
      <c r="E66" s="161">
        <v>30.55</v>
      </c>
      <c r="F66" s="13" t="s">
        <v>32</v>
      </c>
      <c r="G66" s="19"/>
      <c r="H66" s="16" t="s">
        <v>34</v>
      </c>
      <c r="I66" s="20">
        <v>156</v>
      </c>
      <c r="J66" s="70"/>
      <c r="K66" s="153">
        <f>MROUND(Table520251213[[#This Row],[Servings Needed]],156)</f>
        <v>0</v>
      </c>
      <c r="L66" s="153">
        <f>Table520251213[[#This Row],[Svg. Rounded by Case]]/Table520251213[[#This Row],[Avg. Servings Per Case]]</f>
        <v>0</v>
      </c>
      <c r="M66" s="91">
        <f>Table520251213[[#This Row],[Finished Cases]]*Table520251213[[#This Row],[Avg. Servings Per Case]]</f>
        <v>0</v>
      </c>
      <c r="N66" s="21">
        <f>Table520251213[[#This Row],[Finished Cases]]*Table520251213[[#This Row],[DF $ Value Per Case]]</f>
        <v>0</v>
      </c>
      <c r="O66" s="26">
        <f>Table520251213[[#This Row],[Finished Cases]]*20.5</f>
        <v>0</v>
      </c>
      <c r="P66" s="26"/>
      <c r="Q66" s="195"/>
      <c r="R66" s="195"/>
      <c r="AA66" s="10"/>
    </row>
    <row r="67" spans="2:27" s="11" customFormat="1" ht="22.5" customHeight="1" x14ac:dyDescent="0.35">
      <c r="C67" s="15">
        <v>23409</v>
      </c>
      <c r="D67" s="167" t="s">
        <v>87</v>
      </c>
      <c r="E67" s="161">
        <v>30.55</v>
      </c>
      <c r="F67" s="13" t="s">
        <v>32</v>
      </c>
      <c r="G67" s="19"/>
      <c r="H67" s="16" t="s">
        <v>36</v>
      </c>
      <c r="I67" s="20">
        <v>78</v>
      </c>
      <c r="J67" s="70"/>
      <c r="K67" s="153">
        <f>MROUND(Table520251213[[#This Row],[Servings Needed]],78)</f>
        <v>0</v>
      </c>
      <c r="L67" s="153">
        <f>Table520251213[[#This Row],[Svg. Rounded by Case]]/Table520251213[[#This Row],[Avg. Servings Per Case]]</f>
        <v>0</v>
      </c>
      <c r="M67" s="91">
        <f>Table520251213[[#This Row],[Finished Cases]]*Table520251213[[#This Row],[Avg. Servings Per Case]]</f>
        <v>0</v>
      </c>
      <c r="N67" s="21">
        <f>Table520251213[[#This Row],[Finished Cases]]*Table520251213[[#This Row],[DF $ Value Per Case]]</f>
        <v>0</v>
      </c>
      <c r="O67" s="26">
        <f>Table520251213[[#This Row],[Finished Cases]]*20.5</f>
        <v>0</v>
      </c>
      <c r="P67" s="26"/>
      <c r="Q67" s="195"/>
      <c r="R67" s="195"/>
      <c r="AA67" s="10"/>
    </row>
    <row r="68" spans="2:27" s="10" customFormat="1" ht="22.5" customHeight="1" x14ac:dyDescent="0.35">
      <c r="C68" s="15">
        <v>43415</v>
      </c>
      <c r="D68" s="167" t="s">
        <v>88</v>
      </c>
      <c r="E68" s="161">
        <v>30.55</v>
      </c>
      <c r="F68" s="13" t="s">
        <v>32</v>
      </c>
      <c r="G68" s="19"/>
      <c r="H68" s="14" t="s">
        <v>33</v>
      </c>
      <c r="I68" s="20">
        <v>78</v>
      </c>
      <c r="J68" s="70"/>
      <c r="K68" s="153">
        <f>MROUND(Table520251213[[#This Row],[Servings Needed]],78)</f>
        <v>0</v>
      </c>
      <c r="L68" s="153">
        <f>Table520251213[[#This Row],[Svg. Rounded by Case]]/Table520251213[[#This Row],[Avg. Servings Per Case]]</f>
        <v>0</v>
      </c>
      <c r="M68" s="91">
        <f>Table520251213[[#This Row],[Finished Cases]]*Table520251213[[#This Row],[Avg. Servings Per Case]]</f>
        <v>0</v>
      </c>
      <c r="N68" s="21">
        <f>Table520251213[[#This Row],[Finished Cases]]*Table520251213[[#This Row],[DF $ Value Per Case]]</f>
        <v>0</v>
      </c>
      <c r="O68" s="26">
        <f>Table520251213[[#This Row],[Finished Cases]]*20.5</f>
        <v>0</v>
      </c>
      <c r="P68" s="26"/>
      <c r="Q68" s="11"/>
    </row>
    <row r="69" spans="2:27" s="10" customFormat="1" ht="22.5" customHeight="1" x14ac:dyDescent="0.35">
      <c r="C69" s="15">
        <v>54440</v>
      </c>
      <c r="D69" s="167" t="s">
        <v>89</v>
      </c>
      <c r="E69" s="161">
        <v>26.5</v>
      </c>
      <c r="F69" s="13" t="s">
        <v>126</v>
      </c>
      <c r="G69" s="19"/>
      <c r="H69" s="16" t="s">
        <v>56</v>
      </c>
      <c r="I69" s="20">
        <v>107</v>
      </c>
      <c r="J69" s="70"/>
      <c r="K69" s="153">
        <f>MROUND(Table520251213[[#This Row],[Servings Needed]],107)</f>
        <v>0</v>
      </c>
      <c r="L69" s="160">
        <f>Table520251213[[#This Row],[Svg. Rounded by Case]]/Table520251213[[#This Row],[Avg. Servings Per Case]]</f>
        <v>0</v>
      </c>
      <c r="M69" s="91">
        <f>Table520251213[[#This Row],[Finished Cases]]*Table520251213[[#This Row],[Avg. Servings Per Case]]</f>
        <v>0</v>
      </c>
      <c r="N69" s="21">
        <f>Table520251213[[#This Row],[Finished Cases]]*Table520251213[[#This Row],[DF $ Value Per Case]]</f>
        <v>0</v>
      </c>
      <c r="O69" s="26">
        <f>Table520251213[[#This Row],[Finished Cases]]*17.78</f>
        <v>0</v>
      </c>
      <c r="P69" s="26"/>
      <c r="Q69" s="11"/>
    </row>
    <row r="70" spans="2:27" s="10" customFormat="1" ht="22.5" customHeight="1" x14ac:dyDescent="0.35">
      <c r="C70" s="15">
        <v>54454</v>
      </c>
      <c r="D70" s="167" t="s">
        <v>90</v>
      </c>
      <c r="E70" s="161">
        <v>26.5</v>
      </c>
      <c r="F70" s="13" t="s">
        <v>126</v>
      </c>
      <c r="G70" s="19"/>
      <c r="H70" s="16" t="s">
        <v>56</v>
      </c>
      <c r="I70" s="20">
        <v>107</v>
      </c>
      <c r="J70" s="70"/>
      <c r="K70" s="153">
        <f>MROUND(Table520251213[[#This Row],[Servings Needed]],107)</f>
        <v>0</v>
      </c>
      <c r="L70" s="160">
        <f>Table520251213[[#This Row],[Svg. Rounded by Case]]/Table520251213[[#This Row],[Avg. Servings Per Case]]</f>
        <v>0</v>
      </c>
      <c r="M70" s="91">
        <f>Table520251213[[#This Row],[Finished Cases]]*Table520251213[[#This Row],[Avg. Servings Per Case]]</f>
        <v>0</v>
      </c>
      <c r="N70" s="21">
        <f>Table520251213[[#This Row],[Finished Cases]]*Table520251213[[#This Row],[DF $ Value Per Case]]</f>
        <v>0</v>
      </c>
      <c r="O70" s="26">
        <f>Table520251213[[#This Row],[Finished Cases]]*17.78</f>
        <v>0</v>
      </c>
      <c r="P70" s="26"/>
      <c r="Q70" s="11"/>
    </row>
    <row r="71" spans="2:27" s="10" customFormat="1" ht="22.5" customHeight="1" x14ac:dyDescent="0.35">
      <c r="C71" s="15">
        <v>37101</v>
      </c>
      <c r="D71" s="167" t="s">
        <v>121</v>
      </c>
      <c r="E71" s="134">
        <v>70.98</v>
      </c>
      <c r="F71" s="25"/>
      <c r="G71" s="19" t="s">
        <v>42</v>
      </c>
      <c r="H71" s="16" t="s">
        <v>43</v>
      </c>
      <c r="I71" s="20">
        <v>123</v>
      </c>
      <c r="J71" s="70"/>
      <c r="K71" s="153">
        <f>MROUND(Table520251213[[#This Row],[Servings Needed]],123)</f>
        <v>0</v>
      </c>
      <c r="L71" s="160">
        <f>Table520251213[[#This Row],[Svg. Rounded by Case]]/Table520251213[[#This Row],[Avg. Servings Per Case]]</f>
        <v>0</v>
      </c>
      <c r="M71" s="91">
        <f>Table520251213[[#This Row],[Finished Cases]]*Table520251213[[#This Row],[Avg. Servings Per Case]]</f>
        <v>0</v>
      </c>
      <c r="N71" s="21">
        <f>Table520251213[[#This Row],[Finished Cases]]*Table520251213[[#This Row],[DF $ Value Per Case]]</f>
        <v>0</v>
      </c>
      <c r="O71" s="26"/>
      <c r="P71" s="26">
        <f>Table520251213[[#This Row],[Finished Cases]]*47.63</f>
        <v>0</v>
      </c>
      <c r="Q71" s="11"/>
    </row>
    <row r="72" spans="2:27" s="10" customFormat="1" ht="22.5" customHeight="1" x14ac:dyDescent="0.35">
      <c r="C72" s="15">
        <v>94405</v>
      </c>
      <c r="D72" s="167" t="s">
        <v>122</v>
      </c>
      <c r="E72" s="161">
        <v>47.39</v>
      </c>
      <c r="F72" s="13"/>
      <c r="G72" s="19" t="s">
        <v>49</v>
      </c>
      <c r="H72" s="16" t="s">
        <v>140</v>
      </c>
      <c r="I72" s="20">
        <v>78</v>
      </c>
      <c r="J72" s="70"/>
      <c r="K72" s="153">
        <f>MROUND(Table520251213[[#This Row],[Servings Needed]],78)</f>
        <v>0</v>
      </c>
      <c r="L72" s="160">
        <f>Table520251213[[#This Row],[Svg. Rounded by Case]]/Table520251213[[#This Row],[Avg. Servings Per Case]]</f>
        <v>0</v>
      </c>
      <c r="M72" s="91">
        <f>Table520251213[[#This Row],[Finished Cases]]*Table520251213[[#This Row],[Avg. Servings Per Case]]</f>
        <v>0</v>
      </c>
      <c r="N72" s="21">
        <f>Table520251213[[#This Row],[Finished Cases]]*Table520251213[[#This Row],[DF $ Value Per Case]]</f>
        <v>0</v>
      </c>
      <c r="O72" s="26"/>
      <c r="P72" s="26">
        <f>Table520251213[[#This Row],[Finished Cases]]*31.8</f>
        <v>0</v>
      </c>
      <c r="Q72" s="11"/>
    </row>
    <row r="73" spans="2:27" s="10" customFormat="1" ht="22.5" customHeight="1" x14ac:dyDescent="0.35">
      <c r="C73" s="196"/>
      <c r="D73" s="197"/>
      <c r="E73" s="197"/>
      <c r="F73" s="197"/>
      <c r="G73" s="197"/>
      <c r="H73" s="198"/>
      <c r="I73" s="199"/>
      <c r="J73" s="200"/>
      <c r="K73" s="200"/>
      <c r="L73" s="200">
        <f>SUBTOTAL(109,Table520251213[Finished Cases])</f>
        <v>0</v>
      </c>
      <c r="M73" s="194">
        <f>SUBTOTAL(109,Table520251213[Total Servings])</f>
        <v>0</v>
      </c>
      <c r="N73" s="201">
        <f>SUBTOTAL(109,Table520251213[DF $ Value])</f>
        <v>0</v>
      </c>
      <c r="O73" s="202">
        <f>SUBTOTAL(109,Table520251213[DF Pounds WHITE])</f>
        <v>0</v>
      </c>
      <c r="P73" s="202">
        <f>SUBTOTAL(109,Table520251213[DF Pounds DARK])</f>
        <v>0</v>
      </c>
      <c r="Q73" s="11"/>
    </row>
    <row r="74" spans="2:27" ht="50.25" customHeight="1" thickBot="1" x14ac:dyDescent="0.4">
      <c r="C74" s="1"/>
      <c r="D74" s="1"/>
      <c r="E74" s="1"/>
      <c r="F74" s="1"/>
      <c r="G74" s="1"/>
      <c r="H74" s="1"/>
      <c r="I74" s="1"/>
      <c r="J74" s="1"/>
      <c r="N74" s="1"/>
      <c r="O74" s="1"/>
      <c r="P74" s="1"/>
    </row>
    <row r="75" spans="2:27" ht="60" customHeight="1" x14ac:dyDescent="0.7">
      <c r="B75" s="224"/>
      <c r="C75" s="217" t="s">
        <v>58</v>
      </c>
      <c r="D75" s="225"/>
      <c r="E75" s="225"/>
      <c r="F75" s="225"/>
      <c r="G75" s="225"/>
      <c r="H75" s="226"/>
      <c r="I75" s="1"/>
      <c r="J75" s="1"/>
      <c r="N75" s="1"/>
      <c r="O75" s="1"/>
      <c r="P75" s="1"/>
    </row>
    <row r="76" spans="2:27" ht="60" customHeight="1" thickBot="1" x14ac:dyDescent="0.75">
      <c r="B76" s="227"/>
      <c r="C76" s="218" t="s">
        <v>59</v>
      </c>
      <c r="D76" s="219"/>
      <c r="E76" s="228"/>
      <c r="F76" s="228"/>
      <c r="G76" s="228"/>
      <c r="H76" s="229"/>
      <c r="I76" s="1"/>
      <c r="J76" s="1"/>
      <c r="N76" s="1"/>
      <c r="O76" s="1"/>
      <c r="P76" s="1"/>
    </row>
    <row r="77" spans="2:27" ht="60" customHeight="1" thickBot="1" x14ac:dyDescent="0.75">
      <c r="B77" s="227"/>
      <c r="C77" s="218" t="s">
        <v>60</v>
      </c>
      <c r="D77" s="220"/>
      <c r="E77" s="228"/>
      <c r="F77" s="228"/>
      <c r="G77" s="228"/>
      <c r="H77" s="229"/>
      <c r="I77" s="1"/>
      <c r="J77" s="1"/>
      <c r="N77" s="1"/>
      <c r="O77" s="1"/>
      <c r="P77" s="1"/>
    </row>
    <row r="78" spans="2:27" ht="60" customHeight="1" thickBot="1" x14ac:dyDescent="0.75">
      <c r="B78" s="227"/>
      <c r="C78" s="218" t="s">
        <v>61</v>
      </c>
      <c r="D78" s="221"/>
      <c r="E78" s="218" t="s">
        <v>62</v>
      </c>
      <c r="F78" s="219"/>
      <c r="G78" s="218" t="s">
        <v>63</v>
      </c>
      <c r="H78" s="222"/>
      <c r="I78" s="1"/>
      <c r="J78" s="1"/>
      <c r="N78" s="1"/>
      <c r="O78" s="1"/>
      <c r="P78" s="1"/>
    </row>
    <row r="79" spans="2:27" ht="60" customHeight="1" thickBot="1" x14ac:dyDescent="0.75">
      <c r="B79" s="230"/>
      <c r="C79" s="223" t="s">
        <v>64</v>
      </c>
      <c r="D79" s="221"/>
      <c r="E79" s="223" t="s">
        <v>65</v>
      </c>
      <c r="F79" s="252"/>
      <c r="G79" s="252"/>
      <c r="H79" s="253"/>
      <c r="I79" s="1"/>
      <c r="J79" s="1"/>
      <c r="N79" s="1"/>
      <c r="O79" s="1"/>
      <c r="P79" s="1"/>
    </row>
    <row r="80" spans="2:27" ht="15" customHeight="1" x14ac:dyDescent="0.35">
      <c r="C80" s="1"/>
      <c r="D80" s="1"/>
      <c r="E80" s="1"/>
      <c r="F80" s="1"/>
      <c r="G80" s="1"/>
      <c r="H80" s="1"/>
      <c r="I80" s="1"/>
      <c r="J80" s="1"/>
      <c r="N80" s="1"/>
      <c r="O80" s="1"/>
      <c r="P80" s="1"/>
    </row>
    <row r="81" spans="3:16" ht="15" customHeight="1" x14ac:dyDescent="0.35">
      <c r="C81" s="1"/>
      <c r="D81" s="1"/>
      <c r="E81" s="1"/>
      <c r="F81" s="1"/>
      <c r="G81" s="1"/>
      <c r="H81" s="1"/>
      <c r="I81" s="1"/>
      <c r="J81" s="1"/>
      <c r="N81" s="1"/>
      <c r="O81" s="1"/>
      <c r="P81" s="1"/>
    </row>
    <row r="82" spans="3:16" ht="15" customHeight="1" x14ac:dyDescent="0.35">
      <c r="C82" s="1"/>
      <c r="D82" s="1"/>
      <c r="E82" s="1"/>
      <c r="F82" s="1"/>
      <c r="G82" s="1"/>
      <c r="H82" s="1"/>
      <c r="I82" s="1"/>
      <c r="J82" s="1"/>
      <c r="N82" s="1"/>
      <c r="O82" s="1"/>
      <c r="P82" s="1"/>
    </row>
    <row r="83" spans="3:16" ht="15" customHeight="1" x14ac:dyDescent="0.35">
      <c r="C83" s="1"/>
      <c r="D83" s="1"/>
      <c r="E83" s="1"/>
      <c r="F83" s="1"/>
      <c r="G83" s="1"/>
      <c r="H83" s="1"/>
      <c r="I83" s="1"/>
      <c r="J83" s="1"/>
      <c r="N83" s="1"/>
      <c r="O83" s="1"/>
      <c r="P83" s="1"/>
    </row>
    <row r="84" spans="3:16" ht="15" customHeight="1" x14ac:dyDescent="0.35">
      <c r="C84" s="1"/>
      <c r="D84" s="1"/>
      <c r="E84" s="1"/>
      <c r="F84" s="1"/>
      <c r="G84" s="1"/>
      <c r="H84" s="1"/>
      <c r="I84" s="1"/>
      <c r="J84" s="1"/>
      <c r="N84" s="1"/>
      <c r="O84" s="1"/>
      <c r="P84" s="1"/>
    </row>
    <row r="85" spans="3:16" ht="15" customHeight="1" x14ac:dyDescent="0.35">
      <c r="C85" s="1"/>
      <c r="D85" s="1"/>
      <c r="E85" s="1"/>
      <c r="F85" s="1"/>
      <c r="G85" s="1"/>
      <c r="H85" s="1"/>
      <c r="I85" s="1"/>
      <c r="J85" s="1"/>
      <c r="N85" s="1"/>
      <c r="O85" s="1"/>
      <c r="P85" s="1"/>
    </row>
    <row r="86" spans="3:16" ht="15" customHeight="1" x14ac:dyDescent="0.35">
      <c r="C86" s="4"/>
      <c r="D86" s="1"/>
      <c r="E86" s="1"/>
      <c r="F86" s="1"/>
      <c r="G86" s="1"/>
      <c r="H86" s="1"/>
      <c r="I86" s="1"/>
      <c r="J86" s="1"/>
      <c r="N86" s="1"/>
      <c r="O86" s="1"/>
      <c r="P86" s="1"/>
    </row>
    <row r="87" spans="3:16" ht="15" customHeight="1" x14ac:dyDescent="0.35"/>
    <row r="88" spans="3:16" ht="15" customHeight="1" x14ac:dyDescent="0.35"/>
    <row r="89" spans="3:16" ht="15" customHeight="1" x14ac:dyDescent="0.35"/>
    <row r="90" spans="3:16" ht="15" customHeight="1" x14ac:dyDescent="0.35"/>
    <row r="91" spans="3:16" ht="15" customHeight="1" x14ac:dyDescent="0.35">
      <c r="L91"/>
      <c r="M91"/>
    </row>
    <row r="92" spans="3:16" ht="15" customHeight="1" x14ac:dyDescent="0.35">
      <c r="L92"/>
      <c r="M92"/>
    </row>
    <row r="93" spans="3:16" ht="15" customHeight="1" x14ac:dyDescent="0.35"/>
    <row r="94" spans="3:16" ht="15" customHeight="1" x14ac:dyDescent="0.35"/>
    <row r="95" spans="3:16" ht="15" customHeight="1" x14ac:dyDescent="0.35"/>
    <row r="96" spans="3:16" ht="15" customHeight="1" x14ac:dyDescent="0.35"/>
    <row r="97" spans="11:13" ht="15" customHeight="1" x14ac:dyDescent="0.35"/>
    <row r="98" spans="11:13" ht="15" customHeight="1" x14ac:dyDescent="0.35"/>
    <row r="99" spans="11:13" ht="15" customHeight="1" x14ac:dyDescent="0.35"/>
    <row r="100" spans="11:13" ht="15" customHeight="1" x14ac:dyDescent="0.35"/>
    <row r="101" spans="11:13" ht="15" customHeight="1" x14ac:dyDescent="0.35">
      <c r="K101"/>
      <c r="L101"/>
      <c r="M101"/>
    </row>
    <row r="102" spans="11:13" ht="15" customHeight="1" x14ac:dyDescent="0.35">
      <c r="K102"/>
      <c r="L102"/>
      <c r="M102"/>
    </row>
    <row r="103" spans="11:13" ht="15" customHeight="1" x14ac:dyDescent="0.35">
      <c r="K103"/>
      <c r="L103"/>
      <c r="M103"/>
    </row>
    <row r="104" spans="11:13" ht="15" customHeight="1" x14ac:dyDescent="0.35">
      <c r="K104"/>
      <c r="L104"/>
      <c r="M104"/>
    </row>
    <row r="105" spans="11:13" ht="15" customHeight="1" x14ac:dyDescent="0.35">
      <c r="K105"/>
      <c r="L105"/>
      <c r="M105"/>
    </row>
    <row r="106" spans="11:13" ht="15" customHeight="1" x14ac:dyDescent="0.35">
      <c r="K106"/>
      <c r="L106"/>
      <c r="M106"/>
    </row>
    <row r="107" spans="11:13" ht="15" customHeight="1" x14ac:dyDescent="0.35">
      <c r="K107"/>
      <c r="L107"/>
      <c r="M107"/>
    </row>
    <row r="108" spans="11:13" ht="15" customHeight="1" x14ac:dyDescent="0.35">
      <c r="K108"/>
      <c r="L108"/>
      <c r="M108"/>
    </row>
    <row r="109" spans="11:13" ht="15" customHeight="1" x14ac:dyDescent="0.35">
      <c r="K109"/>
      <c r="L109"/>
      <c r="M109"/>
    </row>
    <row r="110" spans="11:13" ht="15" customHeight="1" x14ac:dyDescent="0.35">
      <c r="K110"/>
      <c r="L110"/>
      <c r="M110"/>
    </row>
    <row r="111" spans="11:13" ht="15" customHeight="1" x14ac:dyDescent="0.35">
      <c r="K111"/>
      <c r="L111"/>
      <c r="M111"/>
    </row>
    <row r="112" spans="11:13" ht="15" customHeight="1" x14ac:dyDescent="0.35">
      <c r="K112"/>
      <c r="L112"/>
      <c r="M112"/>
    </row>
    <row r="113" customFormat="1" ht="15" customHeight="1" x14ac:dyDescent="0.35"/>
    <row r="114" customFormat="1" ht="15" customHeight="1" x14ac:dyDescent="0.35"/>
    <row r="115" customFormat="1" ht="15" customHeight="1" x14ac:dyDescent="0.35"/>
    <row r="116" customFormat="1" ht="15" customHeight="1" x14ac:dyDescent="0.35"/>
    <row r="117" customFormat="1" ht="15" customHeight="1" x14ac:dyDescent="0.35"/>
    <row r="118" customFormat="1" ht="15" customHeight="1" x14ac:dyDescent="0.35"/>
    <row r="119" customFormat="1" ht="15" customHeigh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sheetData>
  <sheetProtection algorithmName="SHA-512" hashValue="lnzdfYwWR690ea0RmSn2IQQ+TF3oUIkeVeJJhbT6tox9ks1xlpbCM3HdOwKgPoPHR2jU4KvL9Yuj4Z/PLbsYew==" saltValue="ETa9dBmQh45e5RR7tRRAaA==" spinCount="100000" sheet="1" objects="1" scenarios="1" selectLockedCells="1"/>
  <mergeCells count="1">
    <mergeCell ref="F79:H79"/>
  </mergeCells>
  <phoneticPr fontId="35" type="noConversion"/>
  <conditionalFormatting sqref="J64:K64 J66:L68">
    <cfRule type="expression" dxfId="6" priority="1">
      <formula>$M$50&lt;-0.5</formula>
    </cfRule>
  </conditionalFormatting>
  <printOptions horizontalCentered="1"/>
  <pageMargins left="0" right="0" top="0" bottom="0" header="0" footer="0"/>
  <pageSetup scale="37" fitToHeight="0" orientation="landscape" horizontalDpi="4294967295" verticalDpi="4294967295" r:id="rId1"/>
  <colBreaks count="1" manualBreakCount="1">
    <brk id="8" max="1048575" man="1"/>
  </colBreaks>
  <ignoredErrors>
    <ignoredError sqref="L42 M32:M36 K21:K23 M22:M28 K31:K36 K55 M31 M21 M29:M30 K24:K29 O31 L43:L45 K42 K69:K71 O69:O70 K52 O52:P52 O29 K43:K47" calculatedColumn="1"/>
    <ignoredError sqref="P45:P46" formula="1"/>
    <ignoredError sqref="K64:K65 L65 L66:L68 K67:K68" unlockedFormula="1"/>
    <ignoredError sqref="K66" unlockedFormula="1" calculatedColumn="1"/>
  </ignoredErrors>
  <drawing r:id="rId2"/>
  <legacyDrawing r:id="rId3"/>
  <tableParts count="4">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Z149"/>
  <sheetViews>
    <sheetView showGridLines="0" topLeftCell="B1" zoomScale="70" zoomScaleNormal="70" workbookViewId="0">
      <selection activeCell="J21" sqref="J21"/>
    </sheetView>
  </sheetViews>
  <sheetFormatPr defaultColWidth="9.1796875" defaultRowHeight="14.5" x14ac:dyDescent="0.35"/>
  <cols>
    <col min="1" max="1" width="0" hidden="1" customWidth="1"/>
    <col min="2" max="2" width="9.1796875" customWidth="1"/>
    <col min="3" max="3" width="13.54296875" customWidth="1"/>
    <col min="4" max="4" width="80.7265625" bestFit="1" customWidth="1"/>
    <col min="5" max="9" width="22.7265625" customWidth="1"/>
    <col min="10" max="10" width="20.1796875" customWidth="1"/>
    <col min="11" max="12" width="22.7265625" style="1" customWidth="1"/>
    <col min="13" max="13" width="29.1796875" style="1" customWidth="1"/>
    <col min="14" max="14" width="22.7265625" customWidth="1"/>
    <col min="15" max="17" width="17.7265625" customWidth="1"/>
    <col min="18" max="18" width="16.453125" bestFit="1" customWidth="1"/>
    <col min="19" max="19" width="14.453125" customWidth="1"/>
    <col min="20" max="20" width="20" customWidth="1"/>
    <col min="21" max="22" width="21.7265625" customWidth="1"/>
    <col min="23" max="23" width="25.7265625" bestFit="1" customWidth="1"/>
    <col min="24" max="25" width="21.7265625" customWidth="1"/>
    <col min="26" max="28" width="9.1796875" customWidth="1"/>
    <col min="29" max="29" width="21.453125" customWidth="1"/>
    <col min="30" max="33" width="9.1796875" customWidth="1"/>
  </cols>
  <sheetData>
    <row r="1" spans="3:22" ht="22.5" customHeight="1" x14ac:dyDescent="0.35"/>
    <row r="2" spans="3:22" ht="22.5" customHeight="1" x14ac:dyDescent="0.35"/>
    <row r="3" spans="3:22" ht="22.5" customHeight="1" x14ac:dyDescent="0.35">
      <c r="E3" s="9"/>
      <c r="F3" s="7"/>
      <c r="P3" s="1"/>
    </row>
    <row r="4" spans="3:22" ht="22.5" customHeight="1" x14ac:dyDescent="0.35">
      <c r="P4" s="1"/>
    </row>
    <row r="5" spans="3:22" ht="22.5" customHeight="1" x14ac:dyDescent="0.35">
      <c r="P5" s="1"/>
    </row>
    <row r="6" spans="3:22" ht="22.5" customHeight="1" x14ac:dyDescent="0.35">
      <c r="F6" s="1"/>
      <c r="G6" s="1"/>
      <c r="H6" s="1"/>
      <c r="I6" s="1"/>
      <c r="J6" s="1"/>
    </row>
    <row r="7" spans="3:22" ht="22.5" customHeight="1" x14ac:dyDescent="0.35">
      <c r="F7" s="1"/>
      <c r="G7" s="1"/>
      <c r="H7" s="1"/>
      <c r="I7" s="1"/>
      <c r="J7" s="1"/>
    </row>
    <row r="8" spans="3:22" ht="22.5" customHeight="1" x14ac:dyDescent="0.6">
      <c r="C8" s="254"/>
      <c r="D8" s="254"/>
      <c r="F8" s="1"/>
      <c r="G8" s="1"/>
      <c r="H8" s="1"/>
      <c r="I8" s="1"/>
      <c r="J8" s="1"/>
      <c r="P8" s="1"/>
    </row>
    <row r="9" spans="3:22" ht="22.5" customHeight="1" x14ac:dyDescent="0.35">
      <c r="Q9" s="1"/>
      <c r="R9" s="1"/>
      <c r="S9" s="1"/>
      <c r="T9" s="1"/>
      <c r="U9" s="1"/>
      <c r="V9" s="1"/>
    </row>
    <row r="10" spans="3:22" ht="22.5" customHeight="1" x14ac:dyDescent="0.35">
      <c r="Q10" s="1"/>
      <c r="R10" s="1"/>
      <c r="S10" s="1"/>
      <c r="T10" s="1"/>
      <c r="U10" s="1"/>
      <c r="V10" s="1"/>
    </row>
    <row r="11" spans="3:22" ht="22.5" customHeight="1" x14ac:dyDescent="0.35">
      <c r="Q11" s="1"/>
      <c r="R11" s="1"/>
      <c r="S11" s="1"/>
      <c r="T11" s="1"/>
      <c r="U11" s="1"/>
      <c r="V11" s="1"/>
    </row>
    <row r="12" spans="3:22" ht="22.5" customHeight="1" x14ac:dyDescent="0.35">
      <c r="Q12" s="1"/>
      <c r="R12" s="1"/>
      <c r="S12" s="1"/>
      <c r="T12" s="1"/>
      <c r="U12" s="1"/>
      <c r="V12" s="1"/>
    </row>
    <row r="13" spans="3:22" ht="22.5" customHeight="1" x14ac:dyDescent="0.35">
      <c r="Q13" s="1"/>
      <c r="R13" s="1"/>
      <c r="S13" s="1"/>
      <c r="T13" s="1"/>
      <c r="U13" s="1"/>
      <c r="V13" s="1"/>
    </row>
    <row r="14" spans="3:22" ht="22.5" customHeight="1" x14ac:dyDescent="0.35">
      <c r="Q14" s="1"/>
      <c r="R14" s="1"/>
      <c r="S14" s="1"/>
      <c r="T14" s="1"/>
      <c r="U14" s="1"/>
      <c r="V14" s="1"/>
    </row>
    <row r="15" spans="3:22" ht="22.5" customHeight="1" x14ac:dyDescent="0.35">
      <c r="Q15" s="1"/>
      <c r="R15" s="1"/>
      <c r="S15" s="1"/>
      <c r="T15" s="1"/>
      <c r="U15" s="1"/>
      <c r="V15" s="1"/>
    </row>
    <row r="16" spans="3:22" ht="22.5" customHeight="1" x14ac:dyDescent="0.35">
      <c r="Q16" s="1"/>
      <c r="R16" s="1"/>
      <c r="S16" s="1"/>
      <c r="T16" s="1"/>
      <c r="U16" s="1"/>
      <c r="V16" s="1"/>
    </row>
    <row r="17" spans="3:24" ht="118.9" customHeight="1" x14ac:dyDescent="0.35">
      <c r="E17" s="22"/>
      <c r="F17" s="2"/>
      <c r="Q17" s="1"/>
    </row>
    <row r="18" spans="3:24" ht="49.5" customHeight="1" x14ac:dyDescent="0.35">
      <c r="C18" s="179" t="s">
        <v>80</v>
      </c>
      <c r="D18" s="179"/>
      <c r="E18" s="179"/>
      <c r="F18" s="179"/>
      <c r="G18" s="64"/>
      <c r="H18" s="64"/>
      <c r="I18" s="65"/>
      <c r="J18" s="23"/>
      <c r="K18" s="64"/>
      <c r="L18" s="64"/>
      <c r="M18" s="64"/>
      <c r="N18" s="24"/>
      <c r="Q18" s="1"/>
    </row>
    <row r="19" spans="3:24" s="5" customFormat="1" ht="80.150000000000006" customHeight="1" x14ac:dyDescent="0.45">
      <c r="C19" s="53" t="s">
        <v>0</v>
      </c>
      <c r="D19" s="54" t="s">
        <v>1</v>
      </c>
      <c r="E19" s="54" t="s">
        <v>5</v>
      </c>
      <c r="F19" s="54" t="s">
        <v>9</v>
      </c>
      <c r="G19" s="54" t="s">
        <v>8</v>
      </c>
      <c r="H19" s="54" t="s">
        <v>2</v>
      </c>
      <c r="I19" s="53" t="s">
        <v>6</v>
      </c>
      <c r="J19" s="53" t="s">
        <v>20</v>
      </c>
      <c r="K19" s="53" t="s">
        <v>3</v>
      </c>
      <c r="L19" s="53" t="s">
        <v>7</v>
      </c>
      <c r="M19" s="53" t="s">
        <v>10</v>
      </c>
      <c r="N19" s="53" t="s">
        <v>11</v>
      </c>
      <c r="O19" s="6"/>
    </row>
    <row r="20" spans="3:24" s="10" customFormat="1" ht="22.5" customHeight="1" x14ac:dyDescent="0.35">
      <c r="C20" s="158" t="s">
        <v>82</v>
      </c>
      <c r="D20" s="33"/>
      <c r="E20" s="33"/>
      <c r="F20" s="33"/>
      <c r="G20" s="33"/>
      <c r="H20" s="34"/>
      <c r="I20" s="35"/>
      <c r="J20" s="36"/>
      <c r="K20" s="37"/>
      <c r="L20" s="133">
        <f>Table41922[[#This Row],[Finished Cases]]*Table41922[[#This Row],[DF $ Value Per Case]]</f>
        <v>0</v>
      </c>
      <c r="M20" s="38">
        <f>Table41922[[#This Row],[Finished Cases]]*20.5</f>
        <v>0</v>
      </c>
      <c r="N20" s="39"/>
      <c r="O20" s="11"/>
    </row>
    <row r="21" spans="3:24" s="10" customFormat="1" ht="22.5" customHeight="1" x14ac:dyDescent="0.35">
      <c r="C21" s="12">
        <v>13440</v>
      </c>
      <c r="D21" s="167" t="s">
        <v>91</v>
      </c>
      <c r="E21" s="161">
        <v>30.55</v>
      </c>
      <c r="F21" s="13" t="s">
        <v>32</v>
      </c>
      <c r="G21" s="28">
        <v>0</v>
      </c>
      <c r="H21" s="14" t="s">
        <v>33</v>
      </c>
      <c r="I21" s="31">
        <v>78</v>
      </c>
      <c r="J21" s="69"/>
      <c r="K21" s="20">
        <f>Table41922[[#This Row],[Finished Cases]]*Table41922[[#This Row],[Avg. Servings Per Case]]</f>
        <v>0</v>
      </c>
      <c r="L21" s="32">
        <f>Table41922[[#This Row],[Finished Cases]]*Table41922[[#This Row],[DF $ Value Per Case]]</f>
        <v>0</v>
      </c>
      <c r="M21" s="61">
        <f>Table41922[[#This Row],[Finished Cases]]*20.5</f>
        <v>0</v>
      </c>
      <c r="N21" s="55"/>
      <c r="O21" s="11"/>
      <c r="X21"/>
    </row>
    <row r="22" spans="3:24" s="10" customFormat="1" ht="22.5" customHeight="1" x14ac:dyDescent="0.35">
      <c r="C22" s="15">
        <v>13410</v>
      </c>
      <c r="D22" s="167" t="s">
        <v>110</v>
      </c>
      <c r="E22" s="161">
        <v>30.55</v>
      </c>
      <c r="F22" s="13" t="s">
        <v>32</v>
      </c>
      <c r="G22" s="29">
        <v>0</v>
      </c>
      <c r="H22" s="14" t="s">
        <v>33</v>
      </c>
      <c r="I22" s="31">
        <v>78</v>
      </c>
      <c r="J22" s="70"/>
      <c r="K22" s="20">
        <f>Table41922[[#This Row],[Finished Cases]]*Table41922[[#This Row],[Avg. Servings Per Case]]</f>
        <v>0</v>
      </c>
      <c r="L22" s="32">
        <f>Table41922[[#This Row],[Finished Cases]]*Table41922[[#This Row],[DF $ Value Per Case]]</f>
        <v>0</v>
      </c>
      <c r="M22" s="61">
        <f>Table41922[[#This Row],[Finished Cases]]*20.5</f>
        <v>0</v>
      </c>
      <c r="N22" s="52"/>
      <c r="O22" s="11"/>
      <c r="X22"/>
    </row>
    <row r="23" spans="3:24" s="10" customFormat="1" ht="22.5" customHeight="1" x14ac:dyDescent="0.35">
      <c r="C23" s="15">
        <v>13443</v>
      </c>
      <c r="D23" s="167" t="s">
        <v>129</v>
      </c>
      <c r="E23" s="161">
        <v>30.55</v>
      </c>
      <c r="F23" s="13" t="s">
        <v>32</v>
      </c>
      <c r="G23" s="29">
        <v>0</v>
      </c>
      <c r="H23" s="14" t="s">
        <v>33</v>
      </c>
      <c r="I23" s="31">
        <v>78</v>
      </c>
      <c r="J23" s="70"/>
      <c r="K23" s="20">
        <f>Table41922[[#This Row],[Finished Cases]]*Table41922[[#This Row],[Avg. Servings Per Case]]</f>
        <v>0</v>
      </c>
      <c r="L23" s="32">
        <f>Table41922[[#This Row],[Finished Cases]]*Table41922[[#This Row],[DF $ Value Per Case]]</f>
        <v>0</v>
      </c>
      <c r="M23" s="61">
        <f>Table41922[[#This Row],[Finished Cases]]*20.5</f>
        <v>0</v>
      </c>
      <c r="N23" s="52"/>
      <c r="O23" s="11"/>
      <c r="X23"/>
    </row>
    <row r="24" spans="3:24" s="10" customFormat="1" ht="22.5" customHeight="1" x14ac:dyDescent="0.35">
      <c r="C24" s="15">
        <v>13441</v>
      </c>
      <c r="D24" s="167" t="s">
        <v>92</v>
      </c>
      <c r="E24" s="161">
        <v>30.55</v>
      </c>
      <c r="F24" s="13" t="s">
        <v>32</v>
      </c>
      <c r="G24" s="29">
        <v>0</v>
      </c>
      <c r="H24" s="16" t="s">
        <v>34</v>
      </c>
      <c r="I24" s="20">
        <v>156</v>
      </c>
      <c r="J24" s="70"/>
      <c r="K24" s="20">
        <f>Table41922[[#This Row],[Finished Cases]]*Table41922[[#This Row],[Avg. Servings Per Case]]</f>
        <v>0</v>
      </c>
      <c r="L24" s="32">
        <f>Table41922[[#This Row],[Finished Cases]]*Table41922[[#This Row],[DF $ Value Per Case]]</f>
        <v>0</v>
      </c>
      <c r="M24" s="61">
        <f>Table41922[[#This Row],[Finished Cases]]*20.5</f>
        <v>0</v>
      </c>
      <c r="N24" s="52"/>
      <c r="O24" s="11"/>
      <c r="X24"/>
    </row>
    <row r="25" spans="3:24" s="10" customFormat="1" ht="22.5" customHeight="1" x14ac:dyDescent="0.35">
      <c r="C25" s="15">
        <v>23415</v>
      </c>
      <c r="D25" s="167" t="s">
        <v>93</v>
      </c>
      <c r="E25" s="161">
        <v>30.55</v>
      </c>
      <c r="F25" s="13" t="s">
        <v>32</v>
      </c>
      <c r="G25" s="29">
        <v>0</v>
      </c>
      <c r="H25" s="16" t="s">
        <v>36</v>
      </c>
      <c r="I25" s="20">
        <v>78</v>
      </c>
      <c r="J25" s="70"/>
      <c r="K25" s="20">
        <f>Table41922[[#This Row],[Finished Cases]]*Table41922[[#This Row],[Avg. Servings Per Case]]</f>
        <v>0</v>
      </c>
      <c r="L25" s="32">
        <f>Table41922[[#This Row],[Finished Cases]]*Table41922[[#This Row],[DF $ Value Per Case]]</f>
        <v>0</v>
      </c>
      <c r="M25" s="61">
        <f>Table41922[[#This Row],[Finished Cases]]*20.5</f>
        <v>0</v>
      </c>
      <c r="N25" s="52"/>
      <c r="O25" s="11"/>
      <c r="X25"/>
    </row>
    <row r="26" spans="3:24" s="10" customFormat="1" ht="22.5" customHeight="1" x14ac:dyDescent="0.35">
      <c r="C26" s="15">
        <v>23417</v>
      </c>
      <c r="D26" s="167" t="s">
        <v>112</v>
      </c>
      <c r="E26" s="161">
        <v>30.55</v>
      </c>
      <c r="F26" s="13" t="s">
        <v>32</v>
      </c>
      <c r="G26" s="29">
        <v>0</v>
      </c>
      <c r="H26" s="16" t="s">
        <v>36</v>
      </c>
      <c r="I26" s="20">
        <v>78</v>
      </c>
      <c r="J26" s="70"/>
      <c r="K26" s="20">
        <f>Table41922[[#This Row],[Finished Cases]]*Table41922[[#This Row],[Avg. Servings Per Case]]</f>
        <v>0</v>
      </c>
      <c r="L26" s="32">
        <f>Table41922[[#This Row],[Finished Cases]]*Table41922[[#This Row],[DF $ Value Per Case]]</f>
        <v>0</v>
      </c>
      <c r="M26" s="61">
        <f>Table41922[[#This Row],[Finished Cases]]*20.5</f>
        <v>0</v>
      </c>
      <c r="N26" s="52"/>
      <c r="O26" s="11"/>
      <c r="X26"/>
    </row>
    <row r="27" spans="3:24" s="10" customFormat="1" ht="22.5" customHeight="1" x14ac:dyDescent="0.35">
      <c r="C27" s="17">
        <v>43424</v>
      </c>
      <c r="D27" s="167" t="s">
        <v>94</v>
      </c>
      <c r="E27" s="161">
        <v>30.55</v>
      </c>
      <c r="F27" s="13" t="s">
        <v>32</v>
      </c>
      <c r="G27" s="40">
        <v>0</v>
      </c>
      <c r="H27" s="18" t="s">
        <v>35</v>
      </c>
      <c r="I27" s="41">
        <v>78</v>
      </c>
      <c r="J27" s="71"/>
      <c r="K27" s="20">
        <f>Table41922[[#This Row],[Finished Cases]]*Table41922[[#This Row],[Avg. Servings Per Case]]</f>
        <v>0</v>
      </c>
      <c r="L27" s="32">
        <f>Table41922[[#This Row],[Finished Cases]]*Table41922[[#This Row],[DF $ Value Per Case]]</f>
        <v>0</v>
      </c>
      <c r="M27" s="61">
        <f>Table41922[[#This Row],[Finished Cases]]*20.5</f>
        <v>0</v>
      </c>
      <c r="N27" s="56"/>
      <c r="O27" s="11"/>
      <c r="X27"/>
    </row>
    <row r="28" spans="3:24" s="10" customFormat="1" ht="22.5" customHeight="1" x14ac:dyDescent="0.35">
      <c r="C28" s="17">
        <v>43404</v>
      </c>
      <c r="D28" s="167" t="s">
        <v>113</v>
      </c>
      <c r="E28" s="161">
        <v>30.55</v>
      </c>
      <c r="F28" s="13" t="s">
        <v>32</v>
      </c>
      <c r="G28" s="40">
        <v>0</v>
      </c>
      <c r="H28" s="18" t="s">
        <v>35</v>
      </c>
      <c r="I28" s="41">
        <v>78</v>
      </c>
      <c r="J28" s="71"/>
      <c r="K28" s="20">
        <f>Table41922[[#This Row],[Finished Cases]]*Table41922[[#This Row],[Avg. Servings Per Case]]</f>
        <v>0</v>
      </c>
      <c r="L28" s="32">
        <f>Table41922[[#This Row],[Finished Cases]]*Table41922[[#This Row],[DF $ Value Per Case]]</f>
        <v>0</v>
      </c>
      <c r="M28" s="61">
        <f>Table41922[[#This Row],[Finished Cases]]*20.5</f>
        <v>0</v>
      </c>
      <c r="N28" s="56"/>
      <c r="O28" s="11"/>
      <c r="X28"/>
    </row>
    <row r="29" spans="3:24" s="10" customFormat="1" ht="22.5" customHeight="1" x14ac:dyDescent="0.35">
      <c r="C29" s="180">
        <v>56405</v>
      </c>
      <c r="D29" s="191" t="s">
        <v>133</v>
      </c>
      <c r="E29" s="161">
        <v>39.17</v>
      </c>
      <c r="F29" s="13" t="s">
        <v>41</v>
      </c>
      <c r="G29" s="40">
        <v>0</v>
      </c>
      <c r="H29" s="16" t="s">
        <v>138</v>
      </c>
      <c r="I29" s="192">
        <v>119</v>
      </c>
      <c r="J29" s="185"/>
      <c r="K29" s="20">
        <f>Table41922[[#This Row],[Finished Cases]]*Table41922[[#This Row],[Avg. Servings Per Case]]</f>
        <v>0</v>
      </c>
      <c r="L29" s="32">
        <f>Table41922[[#This Row],[Finished Cases]]*Table41922[[#This Row],[DF $ Value Per Case]]</f>
        <v>0</v>
      </c>
      <c r="M29" s="61">
        <f>Table41922[[#This Row],[Finished Cases]]*26.28</f>
        <v>0</v>
      </c>
      <c r="N29" s="56"/>
      <c r="O29" s="11"/>
      <c r="R29" s="81"/>
    </row>
    <row r="30" spans="3:24" s="10" customFormat="1" ht="22.5" customHeight="1" x14ac:dyDescent="0.35">
      <c r="C30" s="158" t="s">
        <v>81</v>
      </c>
      <c r="D30" s="43"/>
      <c r="E30" s="43"/>
      <c r="F30" s="43"/>
      <c r="G30" s="43"/>
      <c r="H30" s="44"/>
      <c r="I30" s="45"/>
      <c r="J30" s="46"/>
      <c r="K30" s="46"/>
      <c r="L30" s="46"/>
      <c r="M30" s="46"/>
      <c r="N30" s="47"/>
      <c r="O30" s="11"/>
      <c r="R30" s="81"/>
    </row>
    <row r="31" spans="3:24" s="10" customFormat="1" ht="22.5" customHeight="1" x14ac:dyDescent="0.35">
      <c r="C31" s="12">
        <v>56404</v>
      </c>
      <c r="D31" s="167" t="s">
        <v>95</v>
      </c>
      <c r="E31" s="13">
        <v>39.17</v>
      </c>
      <c r="F31" s="13" t="s">
        <v>41</v>
      </c>
      <c r="G31" s="28">
        <v>0</v>
      </c>
      <c r="H31" s="14" t="s">
        <v>40</v>
      </c>
      <c r="I31" s="42">
        <v>114</v>
      </c>
      <c r="J31" s="80"/>
      <c r="K31" s="20">
        <f>Table41922[[#This Row],[Finished Cases]]*Table41922[[#This Row],[Avg. Servings Per Case]]</f>
        <v>0</v>
      </c>
      <c r="L31" s="32">
        <f>Table41922[[#This Row],[Finished Cases]]*Table41922[[#This Row],[DF $ Value Per Case]]</f>
        <v>0</v>
      </c>
      <c r="M31" s="61">
        <f>Table41922[[#This Row],[Finished Cases]]*26.28</f>
        <v>0</v>
      </c>
      <c r="N31" s="55"/>
      <c r="O31" s="11"/>
    </row>
    <row r="32" spans="3:24" s="10" customFormat="1" ht="22.5" customHeight="1" x14ac:dyDescent="0.35">
      <c r="C32" s="12">
        <v>54485</v>
      </c>
      <c r="D32" s="167" t="s">
        <v>96</v>
      </c>
      <c r="E32" s="161">
        <v>30.55</v>
      </c>
      <c r="F32" s="13" t="s">
        <v>32</v>
      </c>
      <c r="G32" s="28">
        <v>0</v>
      </c>
      <c r="H32" s="14" t="s">
        <v>37</v>
      </c>
      <c r="I32" s="42">
        <v>76</v>
      </c>
      <c r="J32" s="80"/>
      <c r="K32" s="20">
        <f>Table41922[[#This Row],[Finished Cases]]*Table41922[[#This Row],[Avg. Servings Per Case]]</f>
        <v>0</v>
      </c>
      <c r="L32" s="32">
        <f>Table41922[[#This Row],[Finished Cases]]*Table41922[[#This Row],[DF $ Value Per Case]]</f>
        <v>0</v>
      </c>
      <c r="M32" s="61">
        <f>Table41922[[#This Row],[Finished Cases]]*20.5</f>
        <v>0</v>
      </c>
      <c r="N32" s="55"/>
      <c r="O32" s="11"/>
    </row>
    <row r="33" spans="3:15" s="10" customFormat="1" ht="22.5" customHeight="1" x14ac:dyDescent="0.35">
      <c r="C33" s="15">
        <v>54486</v>
      </c>
      <c r="D33" s="167" t="s">
        <v>97</v>
      </c>
      <c r="E33" s="161">
        <v>30.55</v>
      </c>
      <c r="F33" s="13" t="s">
        <v>32</v>
      </c>
      <c r="G33" s="29">
        <v>0</v>
      </c>
      <c r="H33" s="16" t="s">
        <v>33</v>
      </c>
      <c r="I33" s="30">
        <v>78</v>
      </c>
      <c r="J33" s="79"/>
      <c r="K33" s="20">
        <f>Table41922[[#This Row],[Finished Cases]]*Table41922[[#This Row],[Avg. Servings Per Case]]</f>
        <v>0</v>
      </c>
      <c r="L33" s="32">
        <f>Table41922[[#This Row],[Finished Cases]]*Table41922[[#This Row],[DF $ Value Per Case]]</f>
        <v>0</v>
      </c>
      <c r="M33" s="61">
        <f>Table41922[[#This Row],[Finished Cases]]*20.5</f>
        <v>0</v>
      </c>
      <c r="N33" s="52"/>
      <c r="O33" s="11"/>
    </row>
    <row r="34" spans="3:15" s="10" customFormat="1" ht="22.5" customHeight="1" x14ac:dyDescent="0.35">
      <c r="C34" s="15">
        <v>54487</v>
      </c>
      <c r="D34" s="167" t="s">
        <v>98</v>
      </c>
      <c r="E34" s="161">
        <v>30.55</v>
      </c>
      <c r="F34" s="13" t="s">
        <v>32</v>
      </c>
      <c r="G34" s="29">
        <v>0</v>
      </c>
      <c r="H34" s="16" t="s">
        <v>38</v>
      </c>
      <c r="I34" s="30">
        <v>76</v>
      </c>
      <c r="J34" s="79"/>
      <c r="K34" s="20">
        <f>Table41922[[#This Row],[Finished Cases]]*Table41922[[#This Row],[Avg. Servings Per Case]]</f>
        <v>0</v>
      </c>
      <c r="L34" s="32">
        <f>Table41922[[#This Row],[Finished Cases]]*Table41922[[#This Row],[DF $ Value Per Case]]</f>
        <v>0</v>
      </c>
      <c r="M34" s="61">
        <f>Table41922[[#This Row],[Finished Cases]]*20.5</f>
        <v>0</v>
      </c>
      <c r="N34" s="52"/>
      <c r="O34" s="11"/>
    </row>
    <row r="35" spans="3:15" s="5" customFormat="1" ht="22.5" customHeight="1" x14ac:dyDescent="0.45">
      <c r="C35" s="15">
        <v>54496</v>
      </c>
      <c r="D35" s="167" t="s">
        <v>114</v>
      </c>
      <c r="E35" s="161">
        <v>30.55</v>
      </c>
      <c r="F35" s="13" t="s">
        <v>32</v>
      </c>
      <c r="G35" s="29">
        <v>0</v>
      </c>
      <c r="H35" s="16" t="s">
        <v>33</v>
      </c>
      <c r="I35" s="30">
        <v>78</v>
      </c>
      <c r="J35" s="79"/>
      <c r="K35" s="20">
        <f>Table41922[[#This Row],[Finished Cases]]*Table41922[[#This Row],[Avg. Servings Per Case]]</f>
        <v>0</v>
      </c>
      <c r="L35" s="32">
        <f>Table41922[[#This Row],[Finished Cases]]*Table41922[[#This Row],[DF $ Value Per Case]]</f>
        <v>0</v>
      </c>
      <c r="M35" s="61">
        <f>Table41922[[#This Row],[Finished Cases]]*20.5</f>
        <v>0</v>
      </c>
      <c r="N35" s="52"/>
      <c r="O35" s="6"/>
    </row>
    <row r="36" spans="3:15" ht="22.5" customHeight="1" x14ac:dyDescent="0.35">
      <c r="C36" s="15">
        <v>54497</v>
      </c>
      <c r="D36" s="167" t="s">
        <v>115</v>
      </c>
      <c r="E36" s="161">
        <v>30.55</v>
      </c>
      <c r="F36" s="13" t="s">
        <v>32</v>
      </c>
      <c r="G36" s="29">
        <v>0</v>
      </c>
      <c r="H36" s="16" t="s">
        <v>39</v>
      </c>
      <c r="I36" s="30">
        <v>77</v>
      </c>
      <c r="J36" s="79"/>
      <c r="K36" s="20">
        <f>Table41922[[#This Row],[Finished Cases]]*Table41922[[#This Row],[Avg. Servings Per Case]]</f>
        <v>0</v>
      </c>
      <c r="L36" s="32">
        <f>Table41922[[#This Row],[Finished Cases]]*Table41922[[#This Row],[DF $ Value Per Case]]</f>
        <v>0</v>
      </c>
      <c r="M36" s="61">
        <f>Table41922[[#This Row],[Finished Cases]]*20.5</f>
        <v>0</v>
      </c>
      <c r="N36" s="52"/>
    </row>
    <row r="37" spans="3:15" ht="22.5" customHeight="1" x14ac:dyDescent="0.35">
      <c r="C37" s="105"/>
      <c r="D37" s="106"/>
      <c r="E37" s="106"/>
      <c r="F37" s="106"/>
      <c r="G37" s="106"/>
      <c r="H37" s="107"/>
      <c r="I37" s="108"/>
      <c r="J37" s="109">
        <f>SUM(Table41922[Finished Cases])</f>
        <v>0</v>
      </c>
      <c r="K37" s="20">
        <f>SUBTOTAL(109,Table41922[Total Servings])</f>
        <v>0</v>
      </c>
      <c r="L37" s="231">
        <f>SUBTOTAL(109,Table41922[DF $ Value])</f>
        <v>0</v>
      </c>
      <c r="M37" s="232">
        <f>SUBTOTAL(109,Table41922[DF Pounds WHITE])</f>
        <v>0</v>
      </c>
      <c r="N37" s="110"/>
    </row>
    <row r="38" spans="3:15" ht="45" customHeight="1" x14ac:dyDescent="0.45">
      <c r="C38" s="105"/>
      <c r="D38" s="106"/>
      <c r="E38" s="106"/>
      <c r="F38" s="106"/>
      <c r="G38" s="106"/>
      <c r="H38" s="107"/>
      <c r="I38" s="108"/>
      <c r="J38" s="120"/>
      <c r="K38" s="121"/>
      <c r="L38" s="122"/>
      <c r="M38" s="123"/>
      <c r="N38" s="124"/>
    </row>
    <row r="39" spans="3:15" s="5" customFormat="1" ht="45" customHeight="1" x14ac:dyDescent="0.45">
      <c r="C39" s="73" t="s">
        <v>83</v>
      </c>
      <c r="D39" s="73"/>
      <c r="E39" s="73"/>
      <c r="F39" s="76"/>
      <c r="G39" s="78"/>
      <c r="H39" s="72"/>
      <c r="I39" s="76" t="s">
        <v>25</v>
      </c>
      <c r="J39" s="78">
        <f>Table15332[Sausage Dark Meat Formed Cases]</f>
        <v>0</v>
      </c>
      <c r="K39" s="3"/>
      <c r="L39" s="3"/>
      <c r="M39" s="76" t="s">
        <v>50</v>
      </c>
      <c r="N39" s="78">
        <f>Table15213[Garlic Basil Meatball  Cases]</f>
        <v>0</v>
      </c>
    </row>
    <row r="40" spans="3:15" s="10" customFormat="1" ht="60.75" customHeight="1" x14ac:dyDescent="0.35">
      <c r="C40" s="73"/>
      <c r="D40" s="73"/>
      <c r="E40" s="73"/>
      <c r="F40" s="73"/>
      <c r="G40" s="75"/>
      <c r="H40" s="72"/>
      <c r="I40" s="76" t="s">
        <v>125</v>
      </c>
      <c r="J40" s="78" cm="1">
        <f t="array" ref="J40">Table1521[Popper Dark Meat Formed Cases]</f>
        <v>0</v>
      </c>
      <c r="K40" s="3"/>
      <c r="L40" s="3"/>
      <c r="M40" s="77" t="s">
        <v>139</v>
      </c>
      <c r="N40" s="78">
        <f>Table152135[Mango Jalapeno Meatball Cases]</f>
        <v>0</v>
      </c>
    </row>
    <row r="41" spans="3:15" s="10" customFormat="1" ht="80.150000000000006" customHeight="1" x14ac:dyDescent="0.35">
      <c r="C41" s="50" t="s">
        <v>0</v>
      </c>
      <c r="D41" s="51" t="s">
        <v>1</v>
      </c>
      <c r="E41" s="51" t="s">
        <v>5</v>
      </c>
      <c r="F41" s="51" t="s">
        <v>9</v>
      </c>
      <c r="G41" s="51" t="s">
        <v>8</v>
      </c>
      <c r="H41" s="51" t="s">
        <v>2</v>
      </c>
      <c r="I41" s="50" t="s">
        <v>6</v>
      </c>
      <c r="J41" s="50" t="s">
        <v>20</v>
      </c>
      <c r="K41" s="50" t="s">
        <v>3</v>
      </c>
      <c r="L41" s="50" t="s">
        <v>7</v>
      </c>
      <c r="M41" s="50" t="s">
        <v>10</v>
      </c>
      <c r="N41" s="50" t="s">
        <v>11</v>
      </c>
    </row>
    <row r="42" spans="3:15" s="5" customFormat="1" ht="22.5" customHeight="1" x14ac:dyDescent="0.45">
      <c r="C42" s="15">
        <v>81401</v>
      </c>
      <c r="D42" s="167" t="s">
        <v>99</v>
      </c>
      <c r="E42" s="82">
        <v>79.430000000000007</v>
      </c>
      <c r="F42" s="25">
        <v>0</v>
      </c>
      <c r="G42" s="19" t="s">
        <v>47</v>
      </c>
      <c r="H42" s="16" t="s">
        <v>48</v>
      </c>
      <c r="I42" s="20">
        <v>232</v>
      </c>
      <c r="J42" s="79"/>
      <c r="K42" s="20">
        <f>Table5202226[[#This Row],[Avg. Servings Per Case]]*Table5202226[[#This Row],[Finished Cases]]</f>
        <v>0</v>
      </c>
      <c r="L42" s="21">
        <f>Table5202226[[#This Row],[Finished Cases]]*Table5202226[[#This Row],[DF $ Value Per Case]]</f>
        <v>0</v>
      </c>
      <c r="M42" s="26"/>
      <c r="N42" s="26">
        <f>Table5202226[[#This Row],[Finished Cases]]*53.3</f>
        <v>0</v>
      </c>
    </row>
    <row r="43" spans="3:15" ht="22.5" customHeight="1" x14ac:dyDescent="0.35">
      <c r="C43" s="128">
        <v>94403</v>
      </c>
      <c r="D43" s="167" t="s">
        <v>100</v>
      </c>
      <c r="E43" s="82">
        <v>47.39</v>
      </c>
      <c r="F43" s="25">
        <v>0</v>
      </c>
      <c r="G43" s="86" t="s">
        <v>49</v>
      </c>
      <c r="H43" s="16" t="s">
        <v>140</v>
      </c>
      <c r="I43" s="20">
        <v>78</v>
      </c>
      <c r="J43" s="79"/>
      <c r="K43" s="20">
        <f>Table5202226[[#This Row],[Avg. Servings Per Case]]*Table5202226[[#This Row],[Finished Cases]]</f>
        <v>0</v>
      </c>
      <c r="L43" s="21">
        <f>Table5202226[[#This Row],[Finished Cases]]*Table5202226[[#This Row],[DF $ Value Per Case]]</f>
        <v>0</v>
      </c>
      <c r="M43" s="26"/>
      <c r="N43" s="26">
        <f>Table5202226[[#This Row],[Finished Cases]]*31.8</f>
        <v>0</v>
      </c>
    </row>
    <row r="44" spans="3:15" ht="22.5" customHeight="1" x14ac:dyDescent="0.35">
      <c r="C44" s="15">
        <v>91401</v>
      </c>
      <c r="D44" s="167" t="s">
        <v>101</v>
      </c>
      <c r="E44" s="134">
        <v>58.52</v>
      </c>
      <c r="F44" s="25">
        <v>0</v>
      </c>
      <c r="G44" s="19" t="s">
        <v>45</v>
      </c>
      <c r="H44" s="16" t="s">
        <v>44</v>
      </c>
      <c r="I44" s="20">
        <v>123</v>
      </c>
      <c r="J44" s="79"/>
      <c r="K44" s="20">
        <f>Table5202226[[#This Row],[Avg. Servings Per Case]]*Table5202226[[#This Row],[Finished Cases]]</f>
        <v>0</v>
      </c>
      <c r="L44" s="21">
        <f>Table5202226[[#This Row],[Finished Cases]]*Table5202226[[#This Row],[DF $ Value Per Case]]</f>
        <v>0</v>
      </c>
      <c r="M44" s="26"/>
      <c r="N44" s="26">
        <f>Table5202226[[#This Row],[Finished Cases]]*39.27</f>
        <v>0</v>
      </c>
    </row>
    <row r="45" spans="3:15" s="10" customFormat="1" ht="22.5" customHeight="1" x14ac:dyDescent="0.35">
      <c r="C45" s="15">
        <v>91402</v>
      </c>
      <c r="D45" s="167" t="s">
        <v>102</v>
      </c>
      <c r="E45" s="130">
        <v>57.51</v>
      </c>
      <c r="F45" s="25">
        <v>0</v>
      </c>
      <c r="G45" s="86" t="s">
        <v>46</v>
      </c>
      <c r="H45" s="16" t="s">
        <v>44</v>
      </c>
      <c r="I45" s="20">
        <v>123</v>
      </c>
      <c r="J45" s="79"/>
      <c r="K45" s="20">
        <f>Table5202226[[#This Row],[Avg. Servings Per Case]]*Table5202226[[#This Row],[Finished Cases]]</f>
        <v>0</v>
      </c>
      <c r="L45" s="21">
        <f>Table5202226[[#This Row],[Finished Cases]]*Table5202226[[#This Row],[DF $ Value Per Case]]</f>
        <v>0</v>
      </c>
      <c r="M45" s="26"/>
      <c r="N45" s="26">
        <f>Table5202226[[#This Row],[Finished Cases]]*38.59</f>
        <v>0</v>
      </c>
      <c r="O45" s="11"/>
    </row>
    <row r="46" spans="3:15" s="10" customFormat="1" ht="22.5" customHeight="1" x14ac:dyDescent="0.35">
      <c r="C46" s="15">
        <v>91409</v>
      </c>
      <c r="D46" s="167" t="s">
        <v>103</v>
      </c>
      <c r="E46" s="134">
        <v>58.52</v>
      </c>
      <c r="F46" s="25"/>
      <c r="G46" s="19" t="s">
        <v>45</v>
      </c>
      <c r="H46" s="16" t="s">
        <v>43</v>
      </c>
      <c r="I46" s="20">
        <v>123</v>
      </c>
      <c r="J46" s="135"/>
      <c r="K46" s="20">
        <f>Table5202226[[#This Row],[Avg. Servings Per Case]]*Table5202226[[#This Row],[Finished Cases]]</f>
        <v>0</v>
      </c>
      <c r="L46" s="21">
        <f>Table5202226[[#This Row],[Finished Cases]]*Table5202226[[#This Row],[DF $ Value Per Case]]</f>
        <v>0</v>
      </c>
      <c r="M46" s="26"/>
      <c r="N46" s="26">
        <f>Table5202226[[#This Row],[Finished Cases]]*39.27</f>
        <v>0</v>
      </c>
      <c r="O46" s="11"/>
    </row>
    <row r="47" spans="3:15" s="10" customFormat="1" ht="22.5" hidden="1" customHeight="1" x14ac:dyDescent="0.35">
      <c r="C47" s="15">
        <v>91410</v>
      </c>
      <c r="D47" s="167" t="s">
        <v>104</v>
      </c>
      <c r="E47" s="130">
        <v>54.41</v>
      </c>
      <c r="F47" s="25">
        <v>0</v>
      </c>
      <c r="G47" s="86" t="s">
        <v>46</v>
      </c>
      <c r="H47" s="16" t="s">
        <v>43</v>
      </c>
      <c r="I47" s="20">
        <v>123</v>
      </c>
      <c r="J47" s="135"/>
      <c r="K47" s="20">
        <f>Table5202226[[#This Row],[Avg. Servings Per Case]]*Table5202226[[#This Row],[Finished Cases]]</f>
        <v>0</v>
      </c>
      <c r="L47" s="21">
        <f>Table5202226[[#This Row],[Finished Cases]]*Table5202226[[#This Row],[DF $ Value Per Case]]</f>
        <v>0</v>
      </c>
      <c r="M47" s="26"/>
      <c r="N47" s="26">
        <f>Table5202226[[#This Row],[Finished Cases]]*38.59</f>
        <v>0</v>
      </c>
    </row>
    <row r="48" spans="3:15" s="10" customFormat="1" ht="22.5" customHeight="1" x14ac:dyDescent="0.45">
      <c r="C48" s="105"/>
      <c r="D48" s="106"/>
      <c r="E48" s="106"/>
      <c r="F48" s="106"/>
      <c r="G48" s="106"/>
      <c r="H48" s="107"/>
      <c r="I48" s="108"/>
      <c r="J48" s="109">
        <f>SUM(Table5202226[Finished Cases])</f>
        <v>0</v>
      </c>
      <c r="K48" s="20">
        <f>SUBTOTAL(109,Table5202226[Total Servings])</f>
        <v>0</v>
      </c>
      <c r="L48" s="111">
        <f>SUBTOTAL(109,Table5202226[DF $ Value])</f>
        <v>0</v>
      </c>
      <c r="M48" s="112"/>
      <c r="N48" s="112">
        <f>SUBTOTAL(109,Table5202226[DF Pounds DARK])</f>
        <v>0</v>
      </c>
    </row>
    <row r="49" spans="3:17" s="10" customFormat="1" ht="18.5" x14ac:dyDescent="0.45">
      <c r="C49" s="105"/>
      <c r="D49" s="106"/>
      <c r="E49" s="106"/>
      <c r="F49" s="106"/>
      <c r="G49" s="106"/>
      <c r="H49" s="107"/>
      <c r="I49" s="108"/>
      <c r="J49" s="120"/>
      <c r="K49" s="121"/>
      <c r="L49" s="127"/>
      <c r="M49" s="125"/>
      <c r="N49" s="125"/>
      <c r="O49" s="11"/>
    </row>
    <row r="50" spans="3:17" ht="33.5" x14ac:dyDescent="0.35">
      <c r="C50" s="84" t="s">
        <v>31</v>
      </c>
      <c r="D50" s="84"/>
      <c r="E50" s="84"/>
      <c r="F50" s="84"/>
      <c r="G50" s="63"/>
      <c r="H50" s="63"/>
      <c r="I50" s="66"/>
      <c r="J50" s="27"/>
      <c r="K50" s="132"/>
      <c r="L50" s="132"/>
      <c r="M50" s="27"/>
      <c r="N50" s="57"/>
    </row>
    <row r="51" spans="3:17" ht="80.150000000000006" customHeight="1" x14ac:dyDescent="0.35">
      <c r="C51" s="48" t="s">
        <v>0</v>
      </c>
      <c r="D51" s="49" t="s">
        <v>1</v>
      </c>
      <c r="E51" s="49" t="s">
        <v>5</v>
      </c>
      <c r="F51" s="49" t="s">
        <v>9</v>
      </c>
      <c r="G51" s="49" t="s">
        <v>8</v>
      </c>
      <c r="H51" s="49" t="s">
        <v>2</v>
      </c>
      <c r="I51" s="48" t="s">
        <v>6</v>
      </c>
      <c r="J51" s="48" t="s">
        <v>20</v>
      </c>
      <c r="K51" s="131" t="s">
        <v>3</v>
      </c>
      <c r="L51" s="131" t="s">
        <v>7</v>
      </c>
      <c r="M51" s="48" t="s">
        <v>10</v>
      </c>
      <c r="N51" s="48" t="s">
        <v>11</v>
      </c>
    </row>
    <row r="52" spans="3:17" ht="22.5" customHeight="1" x14ac:dyDescent="0.35">
      <c r="C52" s="15">
        <v>54405</v>
      </c>
      <c r="D52" s="167" t="s">
        <v>134</v>
      </c>
      <c r="E52" s="19">
        <v>33.93</v>
      </c>
      <c r="F52" s="19" t="s">
        <v>135</v>
      </c>
      <c r="G52" s="19" t="s">
        <v>136</v>
      </c>
      <c r="H52" s="16" t="s">
        <v>34</v>
      </c>
      <c r="I52" s="20">
        <v>156</v>
      </c>
      <c r="J52" s="70"/>
      <c r="K52" s="20">
        <f>Table52025[[#This Row],[Finished Cases]]*156</f>
        <v>0</v>
      </c>
      <c r="L52" s="136">
        <f>Table52025[[#This Row],[Finished Cases]]*Table52025[[#This Row],[DF $ Value Per Case]]</f>
        <v>0</v>
      </c>
      <c r="M52" s="26">
        <f>Table52025[[#This Row],[Finished Cases]]*15.69</f>
        <v>0</v>
      </c>
      <c r="N52" s="26">
        <f>Table52025[[#This Row],[Finished Cases]]*7.08</f>
        <v>0</v>
      </c>
    </row>
    <row r="53" spans="3:17" s="1" customFormat="1" ht="22.5" customHeight="1" x14ac:dyDescent="0.35">
      <c r="C53" s="15">
        <v>54409</v>
      </c>
      <c r="D53" s="167" t="s">
        <v>105</v>
      </c>
      <c r="E53" s="19">
        <v>19.98</v>
      </c>
      <c r="F53" s="19" t="s">
        <v>51</v>
      </c>
      <c r="G53" s="19" t="s">
        <v>52</v>
      </c>
      <c r="H53" s="16" t="s">
        <v>54</v>
      </c>
      <c r="I53" s="20">
        <v>107</v>
      </c>
      <c r="J53" s="70"/>
      <c r="K53" s="20">
        <f>Table52025[[#This Row],[Finished Cases]]*107</f>
        <v>0</v>
      </c>
      <c r="L53" s="136">
        <f>Table52025[[#This Row],[Finished Cases]]*Table52025[[#This Row],[DF $ Value Per Case]]</f>
        <v>0</v>
      </c>
      <c r="M53" s="26">
        <f>Table52025[[#This Row],[Finished Cases]]*9.24</f>
        <v>0</v>
      </c>
      <c r="N53" s="26">
        <f>Table52025[[#This Row],[Finished Cases]]*4.17</f>
        <v>0</v>
      </c>
    </row>
    <row r="54" spans="3:17" s="1" customFormat="1" ht="22.5" customHeight="1" x14ac:dyDescent="0.35">
      <c r="C54" s="15">
        <v>54410</v>
      </c>
      <c r="D54" s="167" t="s">
        <v>106</v>
      </c>
      <c r="E54" s="19">
        <v>19.98</v>
      </c>
      <c r="F54" s="19" t="s">
        <v>51</v>
      </c>
      <c r="G54" s="19" t="s">
        <v>52</v>
      </c>
      <c r="H54" s="16" t="s">
        <v>53</v>
      </c>
      <c r="I54" s="20">
        <v>107</v>
      </c>
      <c r="J54" s="70"/>
      <c r="K54" s="20">
        <f>Table52025[[#This Row],[Finished Cases]]*107</f>
        <v>0</v>
      </c>
      <c r="L54" s="136">
        <f>Table52025[[#This Row],[Finished Cases]]*Table52025[[#This Row],[DF $ Value Per Case]]</f>
        <v>0</v>
      </c>
      <c r="M54" s="26">
        <f>Table52025[[#This Row],[Finished Cases]]*9.24</f>
        <v>0</v>
      </c>
      <c r="N54" s="26">
        <f>Table52025[[#This Row],[Finished Cases]]*4.17</f>
        <v>0</v>
      </c>
      <c r="O54"/>
      <c r="P54"/>
      <c r="Q54"/>
    </row>
    <row r="55" spans="3:17" s="1" customFormat="1" ht="22.5" customHeight="1" x14ac:dyDescent="0.35">
      <c r="C55" s="15">
        <v>54411</v>
      </c>
      <c r="D55" s="167" t="s">
        <v>107</v>
      </c>
      <c r="E55" s="19">
        <v>19.98</v>
      </c>
      <c r="F55" s="19" t="s">
        <v>51</v>
      </c>
      <c r="G55" s="19" t="s">
        <v>52</v>
      </c>
      <c r="H55" s="16" t="s">
        <v>55</v>
      </c>
      <c r="I55" s="20">
        <v>214</v>
      </c>
      <c r="J55" s="70"/>
      <c r="K55" s="20">
        <f>Table52025[[#This Row],[Finished Cases]]*214</f>
        <v>0</v>
      </c>
      <c r="L55" s="136">
        <f>Table52025[[#This Row],[Finished Cases]]*Table52025[[#This Row],[DF $ Value Per Case]]</f>
        <v>0</v>
      </c>
      <c r="M55" s="26">
        <f>Table52025[[#This Row],[Finished Cases]]*9.24</f>
        <v>0</v>
      </c>
      <c r="N55" s="26">
        <f>Table52025[[#This Row],[Finished Cases]]*4.17</f>
        <v>0</v>
      </c>
      <c r="O55"/>
      <c r="P55"/>
      <c r="Q55"/>
    </row>
    <row r="56" spans="3:17" s="1" customFormat="1" ht="22.5" customHeight="1" x14ac:dyDescent="0.35">
      <c r="C56" s="15">
        <v>54453</v>
      </c>
      <c r="D56" s="167" t="s">
        <v>108</v>
      </c>
      <c r="E56" s="19">
        <v>19.98</v>
      </c>
      <c r="F56" s="19" t="s">
        <v>51</v>
      </c>
      <c r="G56" s="19" t="s">
        <v>52</v>
      </c>
      <c r="H56" s="16" t="s">
        <v>57</v>
      </c>
      <c r="I56" s="20">
        <v>107</v>
      </c>
      <c r="J56" s="70"/>
      <c r="K56" s="20">
        <f>Table52025[[#This Row],[Finished Cases]]*107</f>
        <v>0</v>
      </c>
      <c r="L56" s="136">
        <f>Table52025[[#This Row],[Finished Cases]]*Table52025[[#This Row],[DF $ Value Per Case]]</f>
        <v>0</v>
      </c>
      <c r="M56" s="26">
        <f>Table52025[[#This Row],[Finished Cases]]*9.24</f>
        <v>0</v>
      </c>
      <c r="N56" s="26">
        <f>Table52025[[#This Row],[Finished Cases]]*4.17</f>
        <v>0</v>
      </c>
      <c r="O56"/>
      <c r="P56"/>
      <c r="Q56"/>
    </row>
    <row r="57" spans="3:17" s="1" customFormat="1" ht="22.5" customHeight="1" x14ac:dyDescent="0.35">
      <c r="C57" s="15">
        <v>54463</v>
      </c>
      <c r="D57" s="167" t="s">
        <v>109</v>
      </c>
      <c r="E57" s="19">
        <v>19.98</v>
      </c>
      <c r="F57" s="19" t="s">
        <v>51</v>
      </c>
      <c r="G57" s="19" t="s">
        <v>52</v>
      </c>
      <c r="H57" s="16" t="s">
        <v>56</v>
      </c>
      <c r="I57" s="20">
        <v>107</v>
      </c>
      <c r="J57" s="70"/>
      <c r="K57" s="20">
        <f>Table52025[[#This Row],[Finished Cases]]*107</f>
        <v>0</v>
      </c>
      <c r="L57" s="136">
        <f>Table52025[[#This Row],[Finished Cases]]*Table52025[[#This Row],[DF $ Value Per Case]]</f>
        <v>0</v>
      </c>
      <c r="M57" s="26">
        <f>Table52025[[#This Row],[Finished Cases]]*9.24</f>
        <v>0</v>
      </c>
      <c r="N57" s="26">
        <f>Table52025[[#This Row],[Finished Cases]]*4.17</f>
        <v>0</v>
      </c>
      <c r="O57"/>
      <c r="P57"/>
      <c r="Q57"/>
    </row>
    <row r="58" spans="3:17" s="1" customFormat="1" ht="22.5" customHeight="1" x14ac:dyDescent="0.35">
      <c r="C58" s="15">
        <v>54464</v>
      </c>
      <c r="D58" s="167" t="s">
        <v>116</v>
      </c>
      <c r="E58" s="19">
        <v>19.98</v>
      </c>
      <c r="F58" s="19" t="s">
        <v>51</v>
      </c>
      <c r="G58" s="19" t="s">
        <v>52</v>
      </c>
      <c r="H58" s="16" t="s">
        <v>56</v>
      </c>
      <c r="I58" s="20">
        <v>107</v>
      </c>
      <c r="J58" s="70"/>
      <c r="K58" s="20">
        <f>Table52025[[#This Row],[Finished Cases]]*107</f>
        <v>0</v>
      </c>
      <c r="L58" s="136">
        <f>Table52025[[#This Row],[Finished Cases]]*Table52025[[#This Row],[DF $ Value Per Case]]</f>
        <v>0</v>
      </c>
      <c r="M58" s="26">
        <f>Table52025[[#This Row],[Finished Cases]]*9.24</f>
        <v>0</v>
      </c>
      <c r="N58" s="26">
        <f>Table52025[[#This Row],[Finished Cases]]*4.17</f>
        <v>0</v>
      </c>
      <c r="O58"/>
      <c r="P58"/>
      <c r="Q58"/>
    </row>
    <row r="59" spans="3:17" s="1" customFormat="1" ht="22.5" customHeight="1" x14ac:dyDescent="0.45">
      <c r="C59" s="105"/>
      <c r="D59" s="106"/>
      <c r="E59" s="106"/>
      <c r="F59" s="106"/>
      <c r="G59" s="106"/>
      <c r="H59" s="107"/>
      <c r="I59" s="108"/>
      <c r="J59" s="113">
        <f>SUM(Table52025[Finished Cases])</f>
        <v>0</v>
      </c>
      <c r="K59" s="20">
        <f>SUBTOTAL(109,Table52025[Total Servings])</f>
        <v>0</v>
      </c>
      <c r="L59" s="114">
        <f>SUBTOTAL(109,Table52025[DF $ Value])</f>
        <v>0</v>
      </c>
      <c r="M59" s="115">
        <f>SUBTOTAL(109,Table52025[DF Pounds WHITE])</f>
        <v>0</v>
      </c>
      <c r="N59" s="115">
        <f>SUBTOTAL(109,Table52025[DF Pounds DARK])</f>
        <v>0</v>
      </c>
      <c r="O59"/>
      <c r="P59"/>
      <c r="Q59"/>
    </row>
    <row r="60" spans="3:17" s="1" customFormat="1" ht="47.5" customHeight="1" x14ac:dyDescent="0.45">
      <c r="C60" s="105"/>
      <c r="D60" s="106"/>
      <c r="E60" s="106"/>
      <c r="F60" s="106"/>
      <c r="G60" s="106"/>
      <c r="H60" s="107"/>
      <c r="I60" s="108"/>
      <c r="J60" s="139"/>
      <c r="K60" s="140"/>
      <c r="L60" s="127"/>
      <c r="M60" s="125"/>
      <c r="N60" s="125"/>
      <c r="O60"/>
      <c r="P60"/>
      <c r="Q60"/>
    </row>
    <row r="61" spans="3:17" s="1" customFormat="1" ht="33.5" x14ac:dyDescent="0.45">
      <c r="C61" s="173" t="s">
        <v>84</v>
      </c>
      <c r="D61" s="141"/>
      <c r="E61" s="141"/>
      <c r="F61" s="141"/>
      <c r="G61" s="188"/>
      <c r="H61" s="188"/>
      <c r="I61" s="155" t="s">
        <v>123</v>
      </c>
      <c r="J61" s="156" cm="1">
        <f t="array" ref="J61">Table152135[NAE Chicken Crumble Cases]</f>
        <v>0</v>
      </c>
      <c r="K61" s="145"/>
      <c r="L61" s="154"/>
      <c r="M61" s="155"/>
      <c r="N61" s="156"/>
      <c r="O61"/>
      <c r="P61"/>
      <c r="Q61"/>
    </row>
    <row r="62" spans="3:17" s="1" customFormat="1" ht="33.5" x14ac:dyDescent="0.45">
      <c r="C62" s="173"/>
      <c r="D62" s="141"/>
      <c r="E62" s="141"/>
      <c r="F62" s="141"/>
      <c r="G62" s="188"/>
      <c r="H62" s="188"/>
      <c r="I62" s="155" t="s">
        <v>124</v>
      </c>
      <c r="J62" s="156" cm="1">
        <f t="array" ref="J62">Table152135[NAE Popper Dark Meat Formed Cases]</f>
        <v>0</v>
      </c>
      <c r="K62" s="145"/>
      <c r="L62" s="154"/>
      <c r="M62" s="155"/>
      <c r="N62" s="156"/>
      <c r="O62"/>
      <c r="P62"/>
      <c r="Q62"/>
    </row>
    <row r="63" spans="3:17" s="1" customFormat="1" ht="80.150000000000006" customHeight="1" x14ac:dyDescent="0.35">
      <c r="C63" s="148" t="s">
        <v>0</v>
      </c>
      <c r="D63" s="149" t="s">
        <v>1</v>
      </c>
      <c r="E63" s="149" t="s">
        <v>5</v>
      </c>
      <c r="F63" s="149" t="s">
        <v>9</v>
      </c>
      <c r="G63" s="149" t="s">
        <v>8</v>
      </c>
      <c r="H63" s="149" t="s">
        <v>2</v>
      </c>
      <c r="I63" s="148" t="s">
        <v>6</v>
      </c>
      <c r="J63" s="148" t="s">
        <v>20</v>
      </c>
      <c r="K63" s="150" t="s">
        <v>3</v>
      </c>
      <c r="L63" s="150" t="s">
        <v>7</v>
      </c>
      <c r="M63" s="148" t="s">
        <v>10</v>
      </c>
      <c r="N63" s="148" t="s">
        <v>11</v>
      </c>
      <c r="O63"/>
      <c r="P63"/>
      <c r="Q63"/>
    </row>
    <row r="64" spans="3:17" s="1" customFormat="1" ht="22.5" customHeight="1" x14ac:dyDescent="0.35">
      <c r="C64" s="15">
        <v>13424</v>
      </c>
      <c r="D64" s="167" t="s">
        <v>85</v>
      </c>
      <c r="E64" s="161">
        <v>30.55</v>
      </c>
      <c r="F64" s="13" t="s">
        <v>32</v>
      </c>
      <c r="G64" s="19"/>
      <c r="H64" s="14" t="s">
        <v>33</v>
      </c>
      <c r="I64" s="20">
        <v>78</v>
      </c>
      <c r="J64" s="70"/>
      <c r="K64" s="20">
        <f>Table5202512[[#This Row],[Avg. Servings Per Case]]*Table5202512[[#This Row],[Finished Cases]]</f>
        <v>0</v>
      </c>
      <c r="L64" s="136">
        <f>Table5202512[[#This Row],[Finished Cases]]*Table5202512[[#This Row],[DF $ Value Per Case]]</f>
        <v>0</v>
      </c>
      <c r="M64" s="26">
        <f>Table5202512[[#This Row],[Finished Cases]]*20.5</f>
        <v>0</v>
      </c>
      <c r="N64" s="26"/>
      <c r="O64"/>
      <c r="P64"/>
      <c r="Q64"/>
    </row>
    <row r="65" spans="2:26" s="1" customFormat="1" ht="22.5" customHeight="1" x14ac:dyDescent="0.35">
      <c r="C65" s="15">
        <v>13445</v>
      </c>
      <c r="D65" s="167" t="s">
        <v>117</v>
      </c>
      <c r="E65" s="161">
        <v>30.55</v>
      </c>
      <c r="F65" s="13" t="s">
        <v>32</v>
      </c>
      <c r="G65" s="19"/>
      <c r="H65" s="14" t="s">
        <v>33</v>
      </c>
      <c r="I65" s="20">
        <v>78</v>
      </c>
      <c r="J65" s="70"/>
      <c r="K65" s="20">
        <f>Table5202512[[#This Row],[Avg. Servings Per Case]]*Table5202512[[#This Row],[Finished Cases]]</f>
        <v>0</v>
      </c>
      <c r="L65" s="136">
        <f>Table5202512[[#This Row],[Finished Cases]]*Table5202512[[#This Row],[DF $ Value Per Case]]</f>
        <v>0</v>
      </c>
      <c r="M65" s="26">
        <f>Table5202512[[#This Row],[Finished Cases]]*20.5</f>
        <v>0</v>
      </c>
      <c r="N65" s="26"/>
      <c r="O65"/>
      <c r="P65"/>
      <c r="Q65"/>
    </row>
    <row r="66" spans="2:26" s="1" customFormat="1" ht="22.5" customHeight="1" x14ac:dyDescent="0.35">
      <c r="C66" s="15">
        <v>13429</v>
      </c>
      <c r="D66" s="167" t="s">
        <v>86</v>
      </c>
      <c r="E66" s="161">
        <v>30.55</v>
      </c>
      <c r="F66" s="13" t="s">
        <v>32</v>
      </c>
      <c r="G66" s="19"/>
      <c r="H66" s="16" t="s">
        <v>34</v>
      </c>
      <c r="I66" s="20">
        <v>156</v>
      </c>
      <c r="J66" s="70"/>
      <c r="K66" s="20">
        <f>Table5202512[[#This Row],[Avg. Servings Per Case]]*Table5202512[[#This Row],[Finished Cases]]</f>
        <v>0</v>
      </c>
      <c r="L66" s="136">
        <f>Table5202512[[#This Row],[Finished Cases]]*Table5202512[[#This Row],[DF $ Value Per Case]]</f>
        <v>0</v>
      </c>
      <c r="M66" s="26">
        <f>Table5202512[[#This Row],[Finished Cases]]*20.5</f>
        <v>0</v>
      </c>
      <c r="N66" s="26"/>
      <c r="O66"/>
      <c r="P66"/>
      <c r="Q66"/>
    </row>
    <row r="67" spans="2:26" s="1" customFormat="1" ht="22.5" customHeight="1" x14ac:dyDescent="0.35">
      <c r="C67" s="15">
        <v>23409</v>
      </c>
      <c r="D67" s="167" t="s">
        <v>87</v>
      </c>
      <c r="E67" s="161">
        <v>30.55</v>
      </c>
      <c r="F67" s="13" t="s">
        <v>32</v>
      </c>
      <c r="G67" s="19"/>
      <c r="H67" s="16" t="s">
        <v>36</v>
      </c>
      <c r="I67" s="20">
        <v>78</v>
      </c>
      <c r="J67" s="70"/>
      <c r="K67" s="20">
        <f>Table5202512[[#This Row],[Avg. Servings Per Case]]*Table5202512[[#This Row],[Finished Cases]]</f>
        <v>0</v>
      </c>
      <c r="L67" s="136">
        <f>Table5202512[[#This Row],[Finished Cases]]*Table5202512[[#This Row],[DF $ Value Per Case]]</f>
        <v>0</v>
      </c>
      <c r="M67" s="26">
        <f>Table5202512[[#This Row],[Finished Cases]]*20.5</f>
        <v>0</v>
      </c>
      <c r="N67" s="26"/>
      <c r="O67"/>
      <c r="P67"/>
      <c r="Q67"/>
    </row>
    <row r="68" spans="2:26" s="1" customFormat="1" ht="22.5" customHeight="1" x14ac:dyDescent="0.35">
      <c r="C68" s="15">
        <v>43415</v>
      </c>
      <c r="D68" s="167" t="s">
        <v>88</v>
      </c>
      <c r="E68" s="161">
        <v>30.55</v>
      </c>
      <c r="F68" s="13" t="s">
        <v>32</v>
      </c>
      <c r="G68" s="19"/>
      <c r="H68" s="14" t="s">
        <v>33</v>
      </c>
      <c r="I68" s="20">
        <v>78</v>
      </c>
      <c r="J68" s="70"/>
      <c r="K68" s="20">
        <f>Table5202512[[#This Row],[Avg. Servings Per Case]]*Table5202512[[#This Row],[Finished Cases]]</f>
        <v>0</v>
      </c>
      <c r="L68" s="136">
        <f>Table5202512[[#This Row],[Finished Cases]]*Table5202512[[#This Row],[DF $ Value Per Case]]</f>
        <v>0</v>
      </c>
      <c r="M68" s="26">
        <f>Table5202512[[#This Row],[Finished Cases]]*20.5</f>
        <v>0</v>
      </c>
      <c r="N68" s="26"/>
      <c r="O68"/>
      <c r="P68"/>
      <c r="Q68"/>
    </row>
    <row r="69" spans="2:26" s="1" customFormat="1" ht="22.5" customHeight="1" x14ac:dyDescent="0.35">
      <c r="C69" s="180">
        <v>54440</v>
      </c>
      <c r="D69" s="167" t="s">
        <v>89</v>
      </c>
      <c r="E69" s="181">
        <v>26.5</v>
      </c>
      <c r="F69" s="13" t="s">
        <v>126</v>
      </c>
      <c r="G69" s="183"/>
      <c r="H69" s="16" t="s">
        <v>56</v>
      </c>
      <c r="I69" s="184">
        <v>107</v>
      </c>
      <c r="J69" s="185"/>
      <c r="K69" s="20">
        <f>Table5202512[[#This Row],[Avg. Servings Per Case]]*Table5202512[[#This Row],[Finished Cases]]</f>
        <v>0</v>
      </c>
      <c r="L69" s="186">
        <f>Table5202512[[#This Row],[Finished Cases]]*Table5202512[[#This Row],[DF $ Value Per Case]]</f>
        <v>0</v>
      </c>
      <c r="M69" s="187">
        <f>Table5202512[[#This Row],[Finished Cases]]*17.78</f>
        <v>0</v>
      </c>
      <c r="N69" s="187"/>
      <c r="Z69"/>
    </row>
    <row r="70" spans="2:26" s="1" customFormat="1" ht="22.5" customHeight="1" x14ac:dyDescent="0.35">
      <c r="C70" s="180">
        <v>54454</v>
      </c>
      <c r="D70" s="167" t="s">
        <v>90</v>
      </c>
      <c r="E70" s="181">
        <v>26.5</v>
      </c>
      <c r="F70" s="13" t="s">
        <v>126</v>
      </c>
      <c r="G70" s="183"/>
      <c r="H70" s="16" t="s">
        <v>56</v>
      </c>
      <c r="I70" s="184">
        <v>107</v>
      </c>
      <c r="J70" s="185"/>
      <c r="K70" s="20">
        <f>Table5202512[[#This Row],[Avg. Servings Per Case]]*Table5202512[[#This Row],[Finished Cases]]</f>
        <v>0</v>
      </c>
      <c r="L70" s="186">
        <f>Table5202512[[#This Row],[Finished Cases]]*Table5202512[[#This Row],[DF $ Value Per Case]]</f>
        <v>0</v>
      </c>
      <c r="M70" s="187">
        <f>Table5202512[[#This Row],[Finished Cases]]*17.78</f>
        <v>0</v>
      </c>
      <c r="N70" s="187"/>
    </row>
    <row r="71" spans="2:26" s="1" customFormat="1" ht="22.5" customHeight="1" x14ac:dyDescent="0.35">
      <c r="C71" s="180">
        <v>37101</v>
      </c>
      <c r="D71" s="167" t="s">
        <v>121</v>
      </c>
      <c r="E71" s="134">
        <v>70.98</v>
      </c>
      <c r="F71" s="25"/>
      <c r="G71" s="19" t="s">
        <v>42</v>
      </c>
      <c r="H71" s="16" t="s">
        <v>43</v>
      </c>
      <c r="I71" s="20">
        <v>123</v>
      </c>
      <c r="J71" s="185"/>
      <c r="K71" s="20">
        <f>Table5202512[[#This Row],[Avg. Servings Per Case]]*Table5202512[[#This Row],[Finished Cases]]</f>
        <v>0</v>
      </c>
      <c r="L71" s="186">
        <f>Table5202512[[#This Row],[Finished Cases]]*Table5202512[[#This Row],[DF $ Value Per Case]]</f>
        <v>0</v>
      </c>
      <c r="M71" s="26"/>
      <c r="N71" s="187">
        <f>Table5202512[[#This Row],[Finished Cases]]*47.63</f>
        <v>0</v>
      </c>
    </row>
    <row r="72" spans="2:26" s="1" customFormat="1" ht="22.5" customHeight="1" x14ac:dyDescent="0.35">
      <c r="C72" s="180">
        <v>94405</v>
      </c>
      <c r="D72" s="167" t="s">
        <v>122</v>
      </c>
      <c r="E72" s="181">
        <v>47.39</v>
      </c>
      <c r="F72" s="182"/>
      <c r="G72" s="183" t="s">
        <v>49</v>
      </c>
      <c r="H72" s="16" t="s">
        <v>140</v>
      </c>
      <c r="I72" s="184">
        <v>78</v>
      </c>
      <c r="J72" s="185"/>
      <c r="K72" s="20">
        <f>Table5202512[[#This Row],[Avg. Servings Per Case]]*Table5202512[[#This Row],[Finished Cases]]</f>
        <v>0</v>
      </c>
      <c r="L72" s="186">
        <f>Table5202512[[#This Row],[Finished Cases]]*Table5202512[[#This Row],[DF $ Value Per Case]]</f>
        <v>0</v>
      </c>
      <c r="M72" s="187"/>
      <c r="N72" s="187">
        <f>Table5202512[[#This Row],[Finished Cases]]*31.8</f>
        <v>0</v>
      </c>
    </row>
    <row r="73" spans="2:26" s="1" customFormat="1" ht="22.5" customHeight="1" x14ac:dyDescent="0.45">
      <c r="C73" s="105"/>
      <c r="D73" s="106"/>
      <c r="E73" s="106"/>
      <c r="F73" s="106"/>
      <c r="G73" s="106"/>
      <c r="H73" s="107"/>
      <c r="I73" s="108"/>
      <c r="J73" s="113">
        <f>SUM(Table5202512[Finished Cases])</f>
        <v>0</v>
      </c>
      <c r="K73" s="20">
        <f>SUBTOTAL(109,Table5202512[Total Servings])</f>
        <v>0</v>
      </c>
      <c r="L73" s="114">
        <f>SUBTOTAL(109,Table5202512[DF $ Value])</f>
        <v>0</v>
      </c>
      <c r="M73" s="115">
        <f>SUBTOTAL(109,Table5202512[DF Pounds WHITE])</f>
        <v>0</v>
      </c>
      <c r="N73" s="115">
        <f>SUBTOTAL(109,Table5202512[DF Pounds DARK])</f>
        <v>0</v>
      </c>
    </row>
    <row r="74" spans="2:26" s="1" customFormat="1" ht="51.65" customHeight="1" thickBot="1" x14ac:dyDescent="0.4">
      <c r="Z74"/>
    </row>
    <row r="75" spans="2:26" s="1" customFormat="1" ht="60" customHeight="1" x14ac:dyDescent="0.7">
      <c r="B75" s="233"/>
      <c r="C75" s="217" t="s">
        <v>58</v>
      </c>
      <c r="D75" s="234"/>
      <c r="E75" s="234"/>
      <c r="F75" s="234"/>
      <c r="G75" s="234"/>
      <c r="H75" s="235"/>
      <c r="Z75"/>
    </row>
    <row r="76" spans="2:26" s="1" customFormat="1" ht="60" customHeight="1" thickBot="1" x14ac:dyDescent="0.75">
      <c r="B76" s="236"/>
      <c r="C76" s="218" t="s">
        <v>59</v>
      </c>
      <c r="D76" s="237"/>
      <c r="E76" s="238"/>
      <c r="F76" s="238"/>
      <c r="G76" s="238"/>
      <c r="H76" s="239"/>
    </row>
    <row r="77" spans="2:26" s="1" customFormat="1" ht="60" customHeight="1" thickBot="1" x14ac:dyDescent="0.75">
      <c r="B77" s="236"/>
      <c r="C77" s="218" t="s">
        <v>60</v>
      </c>
      <c r="D77" s="240"/>
      <c r="E77" s="238"/>
      <c r="F77" s="238"/>
      <c r="G77" s="238"/>
      <c r="H77" s="239"/>
    </row>
    <row r="78" spans="2:26" s="1" customFormat="1" ht="60" customHeight="1" thickBot="1" x14ac:dyDescent="0.75">
      <c r="B78" s="236"/>
      <c r="C78" s="218" t="s">
        <v>61</v>
      </c>
      <c r="D78" s="240"/>
      <c r="E78" s="218" t="s">
        <v>62</v>
      </c>
      <c r="F78" s="237"/>
      <c r="G78" s="218" t="s">
        <v>63</v>
      </c>
      <c r="H78" s="241"/>
    </row>
    <row r="79" spans="2:26" s="1" customFormat="1" ht="60" customHeight="1" thickBot="1" x14ac:dyDescent="0.75">
      <c r="B79" s="242"/>
      <c r="C79" s="223" t="s">
        <v>64</v>
      </c>
      <c r="D79" s="240"/>
      <c r="E79" s="223" t="s">
        <v>65</v>
      </c>
      <c r="F79" s="237"/>
      <c r="G79" s="243"/>
      <c r="H79" s="244"/>
      <c r="S79"/>
    </row>
    <row r="80" spans="2:26" ht="15" customHeight="1" x14ac:dyDescent="0.35">
      <c r="B80" s="1"/>
      <c r="C80" s="1"/>
      <c r="D80" s="1"/>
      <c r="E80" s="1"/>
      <c r="F80" s="1"/>
      <c r="G80" s="1"/>
      <c r="H80" s="1"/>
      <c r="I80" s="1"/>
      <c r="J80" s="1"/>
      <c r="N80" s="1"/>
    </row>
    <row r="81" spans="2:17" s="1" customFormat="1" ht="15" customHeight="1" x14ac:dyDescent="0.35">
      <c r="B81"/>
    </row>
    <row r="82" spans="2:17" s="1" customFormat="1" ht="15" customHeight="1" x14ac:dyDescent="0.35">
      <c r="E82" s="137"/>
    </row>
    <row r="83" spans="2:17" s="1" customFormat="1" ht="15" customHeight="1" x14ac:dyDescent="0.35">
      <c r="E83"/>
    </row>
    <row r="84" spans="2:17" s="1" customFormat="1" ht="15" customHeight="1" x14ac:dyDescent="0.35">
      <c r="E84"/>
    </row>
    <row r="85" spans="2:17" s="1" customFormat="1" ht="15" customHeight="1" x14ac:dyDescent="0.35">
      <c r="E85" s="138"/>
    </row>
    <row r="86" spans="2:17" s="1" customFormat="1" ht="15" customHeight="1" x14ac:dyDescent="0.35">
      <c r="E86" s="138"/>
    </row>
    <row r="87" spans="2:17" s="1" customFormat="1" ht="15" customHeight="1" x14ac:dyDescent="0.35">
      <c r="C87"/>
      <c r="D87"/>
      <c r="E87" s="119"/>
      <c r="F87"/>
      <c r="G87"/>
      <c r="H87"/>
      <c r="I87"/>
      <c r="J87"/>
      <c r="N87"/>
      <c r="O87"/>
      <c r="P87"/>
      <c r="Q87"/>
    </row>
    <row r="88" spans="2:17" s="1" customFormat="1" ht="15" customHeight="1" x14ac:dyDescent="0.35">
      <c r="E88" s="119" t="s">
        <v>27</v>
      </c>
    </row>
    <row r="89" spans="2:17" s="1" customFormat="1" ht="15" customHeight="1" x14ac:dyDescent="0.35"/>
    <row r="90" spans="2:17" s="1" customFormat="1" ht="15" customHeight="1" x14ac:dyDescent="0.35"/>
    <row r="91" spans="2:17" s="1" customFormat="1" ht="15" customHeight="1" x14ac:dyDescent="0.35"/>
    <row r="92" spans="2:17" s="1" customFormat="1" ht="15" customHeight="1" x14ac:dyDescent="0.35"/>
    <row r="93" spans="2:17" s="1" customFormat="1" ht="15.75" customHeight="1" x14ac:dyDescent="0.35">
      <c r="C93"/>
      <c r="D93"/>
    </row>
    <row r="94" spans="2:17" s="1" customFormat="1" ht="15" customHeight="1" x14ac:dyDescent="0.35">
      <c r="C94"/>
      <c r="D94"/>
      <c r="E94"/>
      <c r="F94"/>
      <c r="G94"/>
      <c r="H94"/>
      <c r="I94"/>
      <c r="J94"/>
      <c r="N94"/>
    </row>
    <row r="95" spans="2:17" s="1" customFormat="1" ht="15" customHeight="1" x14ac:dyDescent="0.35"/>
    <row r="96" spans="2:17" s="1" customFormat="1" ht="15" customHeight="1" x14ac:dyDescent="0.35"/>
    <row r="97" spans="2:17" ht="15" customHeight="1" x14ac:dyDescent="0.35">
      <c r="B97" s="1"/>
      <c r="C97" s="1"/>
      <c r="D97" s="1"/>
      <c r="E97" s="1"/>
      <c r="F97" s="1"/>
      <c r="G97" s="1"/>
      <c r="H97" s="1"/>
      <c r="I97" s="1"/>
      <c r="J97" s="1"/>
      <c r="N97" s="1"/>
      <c r="O97" s="1"/>
      <c r="P97" s="1"/>
      <c r="Q97" s="1"/>
    </row>
    <row r="98" spans="2:17" ht="15" customHeight="1" x14ac:dyDescent="0.35">
      <c r="C98" s="1"/>
      <c r="D98" s="1"/>
      <c r="E98" s="1"/>
      <c r="F98" s="1"/>
      <c r="G98" s="1"/>
      <c r="H98" s="1"/>
      <c r="I98" s="1"/>
      <c r="J98" s="1"/>
      <c r="N98" s="1"/>
      <c r="O98" s="1"/>
      <c r="P98" s="1"/>
      <c r="Q98" s="1"/>
    </row>
    <row r="99" spans="2:17" ht="15" customHeight="1" x14ac:dyDescent="0.35">
      <c r="C99" s="1"/>
      <c r="D99" s="1"/>
      <c r="E99" s="1"/>
      <c r="F99" s="1"/>
      <c r="G99" s="1"/>
      <c r="H99" s="1"/>
      <c r="I99" s="1"/>
      <c r="J99" s="1"/>
      <c r="N99" s="1"/>
      <c r="O99" s="1"/>
      <c r="P99" s="1"/>
      <c r="Q99" s="1"/>
    </row>
    <row r="100" spans="2:17" ht="15" customHeight="1" x14ac:dyDescent="0.35">
      <c r="C100" s="1"/>
      <c r="D100" s="1"/>
      <c r="E100" s="1"/>
      <c r="F100" s="1"/>
      <c r="G100" s="1"/>
      <c r="H100" s="1"/>
      <c r="I100" s="1"/>
      <c r="J100" s="1"/>
      <c r="N100" s="1"/>
      <c r="O100" s="1"/>
      <c r="P100" s="1"/>
      <c r="Q100" s="1"/>
    </row>
    <row r="101" spans="2:17" ht="15" customHeight="1" x14ac:dyDescent="0.35">
      <c r="C101" s="1"/>
      <c r="D101" s="1"/>
      <c r="E101" s="1"/>
      <c r="F101" s="1"/>
      <c r="G101" s="1"/>
      <c r="H101" s="1"/>
      <c r="I101" s="1"/>
      <c r="J101" s="1"/>
      <c r="N101" s="1"/>
      <c r="O101" s="1"/>
      <c r="P101" s="1"/>
      <c r="Q101" s="1"/>
    </row>
    <row r="102" spans="2:17" ht="15" customHeight="1" x14ac:dyDescent="0.35">
      <c r="C102" s="1"/>
      <c r="D102" s="1"/>
      <c r="E102" s="1"/>
      <c r="F102" s="1"/>
      <c r="G102" s="1"/>
      <c r="H102" s="1"/>
      <c r="I102" s="1"/>
      <c r="J102" s="1"/>
      <c r="N102" s="1"/>
      <c r="O102" s="1"/>
      <c r="P102" s="1"/>
      <c r="Q102" s="1"/>
    </row>
    <row r="103" spans="2:17" ht="15" customHeight="1" x14ac:dyDescent="0.35">
      <c r="C103" s="1"/>
      <c r="D103" s="1"/>
      <c r="E103" s="1"/>
      <c r="F103" s="1"/>
      <c r="G103" s="1"/>
      <c r="H103" s="1"/>
      <c r="I103" s="1"/>
      <c r="J103" s="1"/>
      <c r="N103" s="1"/>
      <c r="O103" s="1"/>
      <c r="P103" s="1"/>
      <c r="Q103" s="1"/>
    </row>
    <row r="104" spans="2:17" ht="15" customHeight="1" x14ac:dyDescent="0.35">
      <c r="C104" s="1"/>
      <c r="D104" s="1"/>
      <c r="E104" s="1"/>
      <c r="F104" s="1"/>
      <c r="G104" s="1"/>
      <c r="H104" s="1"/>
      <c r="I104" s="1"/>
      <c r="J104" s="1"/>
      <c r="N104" s="1"/>
    </row>
    <row r="105" spans="2:17" ht="15" customHeight="1" x14ac:dyDescent="0.35">
      <c r="C105" s="1"/>
      <c r="D105" s="1"/>
      <c r="E105" s="1"/>
      <c r="F105" s="1"/>
      <c r="G105" s="1"/>
      <c r="H105" s="1"/>
      <c r="I105" s="1"/>
      <c r="J105" s="1"/>
      <c r="N105" s="1"/>
    </row>
    <row r="106" spans="2:17" ht="15" customHeight="1" x14ac:dyDescent="0.35">
      <c r="C106" s="1"/>
      <c r="D106" s="1"/>
      <c r="E106" s="1"/>
      <c r="F106" s="1"/>
      <c r="G106" s="1"/>
      <c r="H106" s="1"/>
      <c r="I106" s="1"/>
      <c r="J106" s="1"/>
      <c r="N106" s="1"/>
    </row>
    <row r="107" spans="2:17" ht="15" customHeight="1" x14ac:dyDescent="0.35">
      <c r="C107" s="1"/>
      <c r="D107" s="1"/>
      <c r="E107" s="1"/>
      <c r="F107" s="1"/>
      <c r="G107" s="1"/>
      <c r="H107" s="1"/>
      <c r="I107" s="1"/>
      <c r="J107" s="1"/>
      <c r="N107" s="1"/>
    </row>
    <row r="108" spans="2:17" ht="15" customHeight="1" x14ac:dyDescent="0.35">
      <c r="C108" s="1"/>
      <c r="D108" s="1"/>
      <c r="E108" s="1"/>
      <c r="F108" s="1"/>
      <c r="G108" s="1"/>
      <c r="H108" s="1"/>
      <c r="I108" s="1"/>
      <c r="J108" s="1"/>
      <c r="N108" s="1"/>
    </row>
    <row r="109" spans="2:17" ht="15" customHeight="1" x14ac:dyDescent="0.35">
      <c r="C109" s="1"/>
      <c r="D109" s="1"/>
      <c r="E109" s="1"/>
      <c r="F109" s="1"/>
      <c r="G109" s="1"/>
      <c r="H109" s="1"/>
      <c r="I109" s="1"/>
      <c r="J109" s="1"/>
      <c r="N109" s="1"/>
    </row>
    <row r="110" spans="2:17" ht="15" customHeight="1" x14ac:dyDescent="0.35">
      <c r="C110" s="4"/>
      <c r="D110" s="1"/>
      <c r="E110" s="1"/>
      <c r="F110" s="1"/>
      <c r="G110" s="1"/>
      <c r="H110" s="1"/>
      <c r="I110" s="1"/>
      <c r="J110" s="1"/>
      <c r="N110" s="1"/>
    </row>
    <row r="111" spans="2:17" ht="15" customHeight="1" x14ac:dyDescent="0.35"/>
    <row r="112" spans="2:17" ht="15" customHeight="1" x14ac:dyDescent="0.35"/>
    <row r="113" spans="12:13" ht="15" customHeight="1" x14ac:dyDescent="0.35"/>
    <row r="114" spans="12:13" ht="15" customHeight="1" x14ac:dyDescent="0.35"/>
    <row r="115" spans="12:13" ht="15" customHeight="1" x14ac:dyDescent="0.35">
      <c r="L115"/>
      <c r="M115"/>
    </row>
    <row r="116" spans="12:13" ht="15" customHeight="1" x14ac:dyDescent="0.35">
      <c r="L116"/>
      <c r="M116"/>
    </row>
    <row r="117" spans="12:13" ht="15" customHeight="1" x14ac:dyDescent="0.35"/>
    <row r="118" spans="12:13" ht="15" customHeight="1" x14ac:dyDescent="0.35"/>
    <row r="119" spans="12:13" ht="15" customHeight="1" x14ac:dyDescent="0.35"/>
    <row r="120" spans="12:13" ht="15" customHeight="1" x14ac:dyDescent="0.35"/>
    <row r="121" spans="12:13" ht="15" customHeight="1" x14ac:dyDescent="0.35"/>
    <row r="122" spans="12:13" ht="15" customHeight="1" x14ac:dyDescent="0.35"/>
    <row r="123" spans="12:13" ht="15" customHeight="1" x14ac:dyDescent="0.35"/>
    <row r="124" spans="12:13" ht="15" customHeight="1" x14ac:dyDescent="0.35"/>
    <row r="125" spans="12:13" ht="15" customHeight="1" x14ac:dyDescent="0.35"/>
    <row r="126" spans="12:13" ht="15" customHeight="1" x14ac:dyDescent="0.35"/>
    <row r="127" spans="12:13" ht="15" customHeight="1" x14ac:dyDescent="0.35"/>
    <row r="128" spans="12:13" ht="15" customHeight="1" x14ac:dyDescent="0.35"/>
    <row r="129" ht="15" customHeight="1" x14ac:dyDescent="0.35"/>
    <row r="130" ht="15" customHeight="1" x14ac:dyDescent="0.35"/>
    <row r="131" ht="15" customHeight="1" x14ac:dyDescent="0.35"/>
    <row r="132" ht="15" customHeight="1" x14ac:dyDescent="0.35"/>
    <row r="133" ht="15" customHeight="1" x14ac:dyDescent="0.35"/>
    <row r="134" ht="15" customHeight="1" x14ac:dyDescent="0.35"/>
    <row r="135" ht="15" customHeight="1" x14ac:dyDescent="0.35"/>
    <row r="136" ht="15" customHeight="1" x14ac:dyDescent="0.35"/>
    <row r="137" ht="15" customHeight="1" x14ac:dyDescent="0.35"/>
    <row r="138" ht="15" customHeight="1" x14ac:dyDescent="0.35"/>
    <row r="139" ht="15" customHeight="1" x14ac:dyDescent="0.35"/>
    <row r="140" ht="15" customHeight="1" x14ac:dyDescent="0.35"/>
    <row r="141" ht="15" customHeight="1" x14ac:dyDescent="0.35"/>
    <row r="142" ht="15" customHeight="1" x14ac:dyDescent="0.35"/>
    <row r="143" ht="15" customHeight="1" x14ac:dyDescent="0.35"/>
    <row r="144" ht="15" customHeight="1" x14ac:dyDescent="0.35"/>
    <row r="145" ht="15" customHeight="1" x14ac:dyDescent="0.35"/>
    <row r="146" ht="15" customHeight="1" x14ac:dyDescent="0.35"/>
    <row r="147" ht="15" customHeight="1" x14ac:dyDescent="0.35"/>
    <row r="148" ht="15" customHeight="1" x14ac:dyDescent="0.35"/>
    <row r="149" ht="15" customHeight="1" x14ac:dyDescent="0.35"/>
  </sheetData>
  <sheetProtection algorithmName="SHA-512" hashValue="d0zrgQlBJ/zWob0HYHZNS5S54+xhZuw578jnz+RZYr897mfeKBW6qGkj5fNeV6YBOPeJyn8C9jcYqtI6Duu7yQ==" saltValue="EltTLAwMBIZAD/H5p3duHw==" spinCount="100000" sheet="1" objects="1" scenarios="1" selectLockedCells="1"/>
  <mergeCells count="1">
    <mergeCell ref="C8:D8"/>
  </mergeCells>
  <conditionalFormatting sqref="J21:J29">
    <cfRule type="expression" dxfId="5" priority="22">
      <formula>$J$18&lt;-1</formula>
    </cfRule>
  </conditionalFormatting>
  <conditionalFormatting sqref="J31:J36">
    <cfRule type="expression" dxfId="4" priority="2">
      <formula>$J$18&lt;-1</formula>
    </cfRule>
  </conditionalFormatting>
  <conditionalFormatting sqref="J42:J46">
    <cfRule type="expression" dxfId="3" priority="5">
      <formula>($M$39+$M$40)&lt;0</formula>
    </cfRule>
  </conditionalFormatting>
  <conditionalFormatting sqref="J52:J58">
    <cfRule type="expression" dxfId="2" priority="11">
      <formula>$M$50&lt;-0.5</formula>
    </cfRule>
  </conditionalFormatting>
  <conditionalFormatting sqref="J64:J72">
    <cfRule type="expression" dxfId="1" priority="1">
      <formula>$M$50&lt;-0.5</formula>
    </cfRule>
  </conditionalFormatting>
  <printOptions horizontalCentered="1" verticalCentered="1"/>
  <pageMargins left="0" right="0" top="0" bottom="0" header="0" footer="0"/>
  <pageSetup scale="43" orientation="landscape" verticalDpi="4294967295" r:id="rId1"/>
  <colBreaks count="1" manualBreakCount="1">
    <brk id="8" max="1048575" man="1"/>
  </colBreaks>
  <ignoredErrors>
    <ignoredError sqref="M69:M70 M29 M31 M52:N52" calculatedColumn="1"/>
    <ignoredError sqref="K55 N45:N46" formula="1"/>
  </ignoredErrors>
  <drawing r:id="rId2"/>
  <legacyDrawing r:id="rId3"/>
  <tableParts count="4">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E6633-14CC-4483-9712-2B32CE94BF5B}">
  <sheetPr>
    <pageSetUpPr fitToPage="1"/>
  </sheetPr>
  <dimension ref="B1:V117"/>
  <sheetViews>
    <sheetView showGridLines="0" topLeftCell="B1" zoomScale="85" zoomScaleNormal="85" workbookViewId="0">
      <selection activeCell="G18" sqref="G18"/>
    </sheetView>
  </sheetViews>
  <sheetFormatPr defaultColWidth="9.1796875" defaultRowHeight="14.5" x14ac:dyDescent="0.35"/>
  <cols>
    <col min="1" max="1" width="0" hidden="1" customWidth="1"/>
    <col min="2" max="2" width="9.1796875" customWidth="1"/>
    <col min="3" max="3" width="13.54296875" customWidth="1"/>
    <col min="4" max="4" width="80.7265625" customWidth="1"/>
    <col min="5" max="5" width="22.7265625" customWidth="1"/>
    <col min="6" max="6" width="16.1796875" customWidth="1"/>
    <col min="7" max="10" width="10.7265625" customWidth="1"/>
    <col min="11" max="13" width="10.7265625" style="1" customWidth="1"/>
    <col min="14" max="18" width="10.7265625" customWidth="1"/>
    <col min="19" max="19" width="13.54296875" style="166" bestFit="1" customWidth="1"/>
    <col min="20" max="20" width="28.7265625" customWidth="1"/>
    <col min="21" max="22" width="21.7265625" customWidth="1"/>
    <col min="23" max="25" width="9.1796875" customWidth="1"/>
    <col min="26" max="26" width="21.453125" customWidth="1"/>
    <col min="27" max="30" width="9.1796875" customWidth="1"/>
  </cols>
  <sheetData>
    <row r="1" spans="3:19" ht="22.5" customHeight="1" x14ac:dyDescent="0.45">
      <c r="Q1" s="5"/>
    </row>
    <row r="2" spans="3:19" ht="22.5" customHeight="1" x14ac:dyDescent="0.45">
      <c r="Q2" s="5"/>
    </row>
    <row r="3" spans="3:19" ht="22.5" customHeight="1" x14ac:dyDescent="0.45">
      <c r="E3" s="9"/>
      <c r="F3" s="7"/>
      <c r="Q3" s="5"/>
    </row>
    <row r="4" spans="3:19" ht="22.5" customHeight="1" x14ac:dyDescent="0.7">
      <c r="E4" s="8"/>
      <c r="Q4" s="5"/>
    </row>
    <row r="5" spans="3:19" ht="22.5" customHeight="1" x14ac:dyDescent="0.45">
      <c r="Q5" s="5"/>
    </row>
    <row r="6" spans="3:19" ht="22.5" customHeight="1" x14ac:dyDescent="0.45">
      <c r="Q6" s="5"/>
    </row>
    <row r="7" spans="3:19" ht="22.5" customHeight="1" x14ac:dyDescent="0.45">
      <c r="Q7" s="5"/>
    </row>
    <row r="8" spans="3:19" ht="22.5" customHeight="1" x14ac:dyDescent="0.45">
      <c r="Q8" s="5"/>
    </row>
    <row r="9" spans="3:19" ht="22.5" customHeight="1" x14ac:dyDescent="0.45">
      <c r="E9" s="22"/>
      <c r="F9" s="2"/>
      <c r="Q9" s="5"/>
    </row>
    <row r="10" spans="3:19" ht="22.5" customHeight="1" x14ac:dyDescent="0.45">
      <c r="E10" s="22"/>
      <c r="F10" s="2"/>
      <c r="Q10" s="5"/>
    </row>
    <row r="11" spans="3:19" ht="33.5" x14ac:dyDescent="0.35">
      <c r="C11" s="178" t="s">
        <v>80</v>
      </c>
      <c r="D11" s="178"/>
      <c r="E11" s="178"/>
      <c r="F11" s="178"/>
      <c r="G11" s="64"/>
      <c r="H11" s="64"/>
      <c r="I11" s="65"/>
      <c r="J11" s="64"/>
      <c r="K11" s="64"/>
      <c r="L11" s="64"/>
      <c r="M11" s="23"/>
      <c r="N11" s="24"/>
      <c r="O11" s="24"/>
      <c r="P11" s="24"/>
      <c r="Q11" s="24"/>
      <c r="R11" s="24"/>
      <c r="S11" s="23"/>
    </row>
    <row r="12" spans="3:19" s="5" customFormat="1" ht="64.5" customHeight="1" x14ac:dyDescent="0.45">
      <c r="C12" s="53" t="s">
        <v>0</v>
      </c>
      <c r="D12" s="54" t="s">
        <v>1</v>
      </c>
      <c r="E12" s="53" t="s">
        <v>6</v>
      </c>
      <c r="F12" s="53" t="s">
        <v>79</v>
      </c>
      <c r="G12" s="53" t="s">
        <v>66</v>
      </c>
      <c r="H12" s="53" t="s">
        <v>67</v>
      </c>
      <c r="I12" s="53" t="s">
        <v>68</v>
      </c>
      <c r="J12" s="53" t="s">
        <v>69</v>
      </c>
      <c r="K12" s="53" t="s">
        <v>70</v>
      </c>
      <c r="L12" s="53" t="s">
        <v>71</v>
      </c>
      <c r="M12" s="53" t="s">
        <v>72</v>
      </c>
      <c r="N12" s="53" t="s">
        <v>73</v>
      </c>
      <c r="O12" s="53" t="s">
        <v>74</v>
      </c>
      <c r="P12" s="53" t="s">
        <v>75</v>
      </c>
      <c r="Q12" s="53" t="s">
        <v>76</v>
      </c>
      <c r="R12" s="53" t="s">
        <v>77</v>
      </c>
      <c r="S12" s="53" t="s">
        <v>78</v>
      </c>
    </row>
    <row r="13" spans="3:19" s="10" customFormat="1" ht="24.75" customHeight="1" x14ac:dyDescent="0.35">
      <c r="C13" s="158" t="s">
        <v>82</v>
      </c>
      <c r="D13" s="33"/>
      <c r="E13" s="35"/>
      <c r="F13" s="34"/>
      <c r="G13" s="37"/>
      <c r="H13" s="37"/>
      <c r="I13" s="37"/>
      <c r="J13" s="37"/>
      <c r="K13" s="37"/>
      <c r="L13" s="37"/>
      <c r="M13" s="37"/>
      <c r="N13" s="37"/>
      <c r="O13" s="37"/>
      <c r="P13" s="37"/>
      <c r="Q13" s="37"/>
      <c r="R13" s="37"/>
      <c r="S13" s="45"/>
    </row>
    <row r="14" spans="3:19" s="10" customFormat="1" ht="24.75" customHeight="1" x14ac:dyDescent="0.35">
      <c r="C14" s="12">
        <v>13440</v>
      </c>
      <c r="D14" s="167" t="s">
        <v>91</v>
      </c>
      <c r="E14" s="31">
        <v>78</v>
      </c>
      <c r="F14" s="31">
        <f>SUM('Servings to DF Pounds'!L21,'Cases to DF Pounds'!J21)-Table41918[[#This Row],[Total Cases]]</f>
        <v>0</v>
      </c>
      <c r="G14" s="60"/>
      <c r="H14" s="60"/>
      <c r="I14" s="60"/>
      <c r="J14" s="60"/>
      <c r="K14" s="60"/>
      <c r="L14" s="60"/>
      <c r="M14" s="60"/>
      <c r="N14" s="60"/>
      <c r="O14" s="60"/>
      <c r="P14" s="60"/>
      <c r="Q14" s="60"/>
      <c r="R14" s="60"/>
      <c r="S14" s="162">
        <f>SUM(Table41918[[#This Row],[Jul]:[Jun]])</f>
        <v>0</v>
      </c>
    </row>
    <row r="15" spans="3:19" s="10" customFormat="1" ht="24.75" customHeight="1" x14ac:dyDescent="0.35">
      <c r="C15" s="15">
        <v>13410</v>
      </c>
      <c r="D15" s="167" t="s">
        <v>110</v>
      </c>
      <c r="E15" s="31">
        <v>78</v>
      </c>
      <c r="F15" s="31">
        <f>SUM('Servings to DF Pounds'!L22,'Cases to DF Pounds'!J22)-Table41918[[#This Row],[Total Cases]]</f>
        <v>0</v>
      </c>
      <c r="G15" s="60"/>
      <c r="H15" s="60"/>
      <c r="I15" s="60"/>
      <c r="J15" s="60"/>
      <c r="K15" s="60"/>
      <c r="L15" s="60"/>
      <c r="M15" s="60"/>
      <c r="N15" s="60"/>
      <c r="O15" s="60"/>
      <c r="P15" s="60"/>
      <c r="Q15" s="60"/>
      <c r="R15" s="60"/>
      <c r="S15" s="162">
        <f>SUM(Table41918[[#This Row],[Jul]:[Jun]])</f>
        <v>0</v>
      </c>
    </row>
    <row r="16" spans="3:19" s="10" customFormat="1" ht="24.75" customHeight="1" x14ac:dyDescent="0.35">
      <c r="C16" s="15">
        <v>13443</v>
      </c>
      <c r="D16" s="167" t="s">
        <v>111</v>
      </c>
      <c r="E16" s="31">
        <v>78</v>
      </c>
      <c r="F16" s="31">
        <f>SUM('Servings to DF Pounds'!L23,'Cases to DF Pounds'!J23)-Table41918[[#This Row],[Total Cases]]</f>
        <v>0</v>
      </c>
      <c r="G16" s="60"/>
      <c r="H16" s="60"/>
      <c r="I16" s="60"/>
      <c r="J16" s="60"/>
      <c r="K16" s="60"/>
      <c r="L16" s="60"/>
      <c r="M16" s="60"/>
      <c r="N16" s="60"/>
      <c r="O16" s="60"/>
      <c r="P16" s="60"/>
      <c r="Q16" s="60"/>
      <c r="R16" s="60"/>
      <c r="S16" s="162">
        <f>SUM(Table41918[[#This Row],[Jul]:[Jun]])</f>
        <v>0</v>
      </c>
    </row>
    <row r="17" spans="3:19" s="10" customFormat="1" ht="24.75" customHeight="1" x14ac:dyDescent="0.35">
      <c r="C17" s="15">
        <v>13441</v>
      </c>
      <c r="D17" s="167" t="s">
        <v>92</v>
      </c>
      <c r="E17" s="20">
        <v>156</v>
      </c>
      <c r="F17" s="31">
        <f>SUM('Servings to DF Pounds'!L24,'Cases to DF Pounds'!J24)-Table41918[[#This Row],[Total Cases]]</f>
        <v>0</v>
      </c>
      <c r="G17" s="60"/>
      <c r="H17" s="60"/>
      <c r="I17" s="60"/>
      <c r="J17" s="60"/>
      <c r="K17" s="60"/>
      <c r="L17" s="60"/>
      <c r="M17" s="60"/>
      <c r="N17" s="60"/>
      <c r="O17" s="60"/>
      <c r="P17" s="60"/>
      <c r="Q17" s="60"/>
      <c r="R17" s="60"/>
      <c r="S17" s="162">
        <f>SUM(Table41918[[#This Row],[Jul]:[Jun]])</f>
        <v>0</v>
      </c>
    </row>
    <row r="18" spans="3:19" s="10" customFormat="1" ht="24.75" customHeight="1" x14ac:dyDescent="0.35">
      <c r="C18" s="15">
        <v>23415</v>
      </c>
      <c r="D18" s="167" t="s">
        <v>93</v>
      </c>
      <c r="E18" s="20">
        <v>78</v>
      </c>
      <c r="F18" s="31">
        <f>SUM('Servings to DF Pounds'!L25,'Cases to DF Pounds'!J25)-Table41918[[#This Row],[Total Cases]]</f>
        <v>0</v>
      </c>
      <c r="G18" s="60"/>
      <c r="H18" s="60"/>
      <c r="I18" s="60"/>
      <c r="J18" s="60"/>
      <c r="K18" s="60"/>
      <c r="L18" s="60"/>
      <c r="M18" s="60"/>
      <c r="N18" s="60"/>
      <c r="O18" s="60"/>
      <c r="P18" s="60"/>
      <c r="Q18" s="60"/>
      <c r="R18" s="60"/>
      <c r="S18" s="162">
        <f>SUM(Table41918[[#This Row],[Jul]:[Jun]])</f>
        <v>0</v>
      </c>
    </row>
    <row r="19" spans="3:19" s="10" customFormat="1" ht="24.75" customHeight="1" x14ac:dyDescent="0.35">
      <c r="C19" s="15">
        <v>23417</v>
      </c>
      <c r="D19" s="167" t="s">
        <v>112</v>
      </c>
      <c r="E19" s="20">
        <v>78</v>
      </c>
      <c r="F19" s="31">
        <f>SUM('Servings to DF Pounds'!L26,'Cases to DF Pounds'!J26)-Table41918[[#This Row],[Total Cases]]</f>
        <v>0</v>
      </c>
      <c r="G19" s="60"/>
      <c r="H19" s="60"/>
      <c r="I19" s="60"/>
      <c r="J19" s="60"/>
      <c r="K19" s="60"/>
      <c r="L19" s="60"/>
      <c r="M19" s="60"/>
      <c r="N19" s="60"/>
      <c r="O19" s="60"/>
      <c r="P19" s="60"/>
      <c r="Q19" s="60"/>
      <c r="R19" s="60"/>
      <c r="S19" s="162">
        <f>SUM(Table41918[[#This Row],[Jul]:[Jun]])</f>
        <v>0</v>
      </c>
    </row>
    <row r="20" spans="3:19" s="10" customFormat="1" ht="24.75" customHeight="1" x14ac:dyDescent="0.35">
      <c r="C20" s="17">
        <v>43424</v>
      </c>
      <c r="D20" s="167" t="s">
        <v>94</v>
      </c>
      <c r="E20" s="41">
        <v>78</v>
      </c>
      <c r="F20" s="31">
        <f>SUM('Servings to DF Pounds'!L27,'Cases to DF Pounds'!J27)-Table41918[[#This Row],[Total Cases]]</f>
        <v>0</v>
      </c>
      <c r="G20" s="60"/>
      <c r="H20" s="60"/>
      <c r="I20" s="60"/>
      <c r="J20" s="60"/>
      <c r="K20" s="60"/>
      <c r="L20" s="60"/>
      <c r="M20" s="60"/>
      <c r="N20" s="60"/>
      <c r="O20" s="60"/>
      <c r="P20" s="60"/>
      <c r="Q20" s="60"/>
      <c r="R20" s="60"/>
      <c r="S20" s="162">
        <f>SUM(Table41918[[#This Row],[Jul]:[Jun]])</f>
        <v>0</v>
      </c>
    </row>
    <row r="21" spans="3:19" s="10" customFormat="1" ht="24.75" customHeight="1" x14ac:dyDescent="0.35">
      <c r="C21" s="17">
        <v>43404</v>
      </c>
      <c r="D21" s="167" t="s">
        <v>113</v>
      </c>
      <c r="E21" s="41">
        <v>78</v>
      </c>
      <c r="F21" s="31">
        <f>SUM('Servings to DF Pounds'!L28,'Cases to DF Pounds'!J28)-Table41918[[#This Row],[Total Cases]]</f>
        <v>0</v>
      </c>
      <c r="G21" s="60"/>
      <c r="H21" s="60"/>
      <c r="I21" s="60"/>
      <c r="J21" s="60"/>
      <c r="K21" s="60"/>
      <c r="L21" s="60"/>
      <c r="M21" s="60"/>
      <c r="N21" s="60"/>
      <c r="O21" s="60"/>
      <c r="P21" s="60"/>
      <c r="Q21" s="60"/>
      <c r="R21" s="60"/>
      <c r="S21" s="162">
        <f>SUM(Table41918[[#This Row],[Jul]:[Jun]])</f>
        <v>0</v>
      </c>
    </row>
    <row r="22" spans="3:19" s="10" customFormat="1" ht="24.75" customHeight="1" x14ac:dyDescent="0.35">
      <c r="C22" s="180">
        <v>56405</v>
      </c>
      <c r="D22" s="191" t="s">
        <v>133</v>
      </c>
      <c r="E22" s="20">
        <v>119</v>
      </c>
      <c r="F22" s="31">
        <f>SUM('Servings to DF Pounds'!L29,'Cases to DF Pounds'!J29)-Table41918[[#This Row],[Total Cases]]</f>
        <v>0</v>
      </c>
      <c r="G22" s="60"/>
      <c r="H22" s="246"/>
      <c r="I22" s="246"/>
      <c r="J22" s="246"/>
      <c r="K22" s="246"/>
      <c r="L22" s="246"/>
      <c r="M22" s="246"/>
      <c r="N22" s="246"/>
      <c r="O22" s="246"/>
      <c r="P22" s="246"/>
      <c r="Q22" s="246"/>
      <c r="R22" s="247"/>
      <c r="S22" s="162">
        <f>SUM(Table41918[[#This Row],[Jul]:[Jun]])</f>
        <v>0</v>
      </c>
    </row>
    <row r="23" spans="3:19" s="10" customFormat="1" ht="24.75" customHeight="1" x14ac:dyDescent="0.35">
      <c r="C23" s="158" t="s">
        <v>81</v>
      </c>
      <c r="D23" s="43"/>
      <c r="E23" s="45"/>
      <c r="F23" s="44"/>
      <c r="G23" s="163"/>
      <c r="H23" s="163"/>
      <c r="I23" s="163"/>
      <c r="J23" s="163"/>
      <c r="K23" s="163"/>
      <c r="L23" s="163"/>
      <c r="M23" s="163"/>
      <c r="N23" s="163"/>
      <c r="O23" s="163"/>
      <c r="P23" s="163"/>
      <c r="Q23" s="163"/>
      <c r="R23" s="163"/>
      <c r="S23" s="164"/>
    </row>
    <row r="24" spans="3:19" s="10" customFormat="1" ht="24.75" customHeight="1" x14ac:dyDescent="0.35">
      <c r="C24" s="12">
        <v>56404</v>
      </c>
      <c r="D24" s="167" t="s">
        <v>95</v>
      </c>
      <c r="E24" s="245">
        <v>114</v>
      </c>
      <c r="F24" s="31">
        <f>SUM('Servings to DF Pounds'!L31,'Cases to DF Pounds'!J31)-Table41918[[#This Row],[Total Cases]]</f>
        <v>0</v>
      </c>
      <c r="G24" s="60"/>
      <c r="H24" s="60"/>
      <c r="I24" s="60"/>
      <c r="J24" s="60"/>
      <c r="K24" s="60"/>
      <c r="L24" s="60"/>
      <c r="M24" s="60"/>
      <c r="N24" s="60"/>
      <c r="O24" s="60"/>
      <c r="P24" s="60"/>
      <c r="Q24" s="60"/>
      <c r="R24" s="60"/>
      <c r="S24" s="162">
        <f>SUM(Table41918[[#This Row],[Jul]:[Jun]])</f>
        <v>0</v>
      </c>
    </row>
    <row r="25" spans="3:19" s="5" customFormat="1" ht="24.75" customHeight="1" x14ac:dyDescent="0.45">
      <c r="C25" s="12">
        <v>54485</v>
      </c>
      <c r="D25" s="167" t="s">
        <v>96</v>
      </c>
      <c r="E25" s="245">
        <v>76</v>
      </c>
      <c r="F25" s="31">
        <f>SUM('Servings to DF Pounds'!L32,'Cases to DF Pounds'!J32)-Table41918[[#This Row],[Total Cases]]</f>
        <v>0</v>
      </c>
      <c r="G25" s="60"/>
      <c r="H25" s="60"/>
      <c r="I25" s="60"/>
      <c r="J25" s="60"/>
      <c r="K25" s="60"/>
      <c r="L25" s="60"/>
      <c r="M25" s="60"/>
      <c r="N25" s="60"/>
      <c r="O25" s="60"/>
      <c r="P25" s="60"/>
      <c r="Q25" s="60"/>
      <c r="R25" s="60"/>
      <c r="S25" s="162">
        <f>SUM(Table41918[[#This Row],[Jul]:[Jun]])</f>
        <v>0</v>
      </c>
    </row>
    <row r="26" spans="3:19" ht="24.75" customHeight="1" x14ac:dyDescent="0.35">
      <c r="C26" s="15">
        <v>54486</v>
      </c>
      <c r="D26" s="167" t="s">
        <v>97</v>
      </c>
      <c r="E26" s="20">
        <v>78</v>
      </c>
      <c r="F26" s="31">
        <f>SUM('Servings to DF Pounds'!L33,'Cases to DF Pounds'!J33)-Table41918[[#This Row],[Total Cases]]</f>
        <v>0</v>
      </c>
      <c r="G26" s="60"/>
      <c r="H26" s="60"/>
      <c r="I26" s="60"/>
      <c r="J26" s="60"/>
      <c r="K26" s="60"/>
      <c r="L26" s="60"/>
      <c r="M26" s="60"/>
      <c r="N26" s="60"/>
      <c r="O26" s="60"/>
      <c r="P26" s="60"/>
      <c r="Q26" s="60"/>
      <c r="R26" s="60"/>
      <c r="S26" s="162">
        <f>SUM(Table41918[[#This Row],[Jul]:[Jun]])</f>
        <v>0</v>
      </c>
    </row>
    <row r="27" spans="3:19" ht="24.75" customHeight="1" x14ac:dyDescent="0.35">
      <c r="C27" s="15">
        <v>54487</v>
      </c>
      <c r="D27" s="167" t="s">
        <v>98</v>
      </c>
      <c r="E27" s="20">
        <v>76</v>
      </c>
      <c r="F27" s="31">
        <f>SUM('Servings to DF Pounds'!L34,'Cases to DF Pounds'!J34)-Table41918[[#This Row],[Total Cases]]</f>
        <v>0</v>
      </c>
      <c r="G27" s="60"/>
      <c r="H27" s="60"/>
      <c r="I27" s="60"/>
      <c r="J27" s="60"/>
      <c r="K27" s="60"/>
      <c r="L27" s="60"/>
      <c r="M27" s="60"/>
      <c r="N27" s="60"/>
      <c r="O27" s="60"/>
      <c r="P27" s="60"/>
      <c r="Q27" s="60"/>
      <c r="R27" s="60"/>
      <c r="S27" s="162">
        <f>SUM(Table41918[[#This Row],[Jul]:[Jun]])</f>
        <v>0</v>
      </c>
    </row>
    <row r="28" spans="3:19" ht="24.75" customHeight="1" x14ac:dyDescent="0.35">
      <c r="C28" s="15">
        <v>54496</v>
      </c>
      <c r="D28" s="167" t="s">
        <v>114</v>
      </c>
      <c r="E28" s="20">
        <v>78</v>
      </c>
      <c r="F28" s="31">
        <f>SUM('Servings to DF Pounds'!L35,'Cases to DF Pounds'!J35)-Table41918[[#This Row],[Total Cases]]</f>
        <v>0</v>
      </c>
      <c r="G28" s="60"/>
      <c r="H28" s="60"/>
      <c r="I28" s="60"/>
      <c r="J28" s="60"/>
      <c r="K28" s="60"/>
      <c r="L28" s="60"/>
      <c r="M28" s="60"/>
      <c r="N28" s="60"/>
      <c r="O28" s="60"/>
      <c r="P28" s="60"/>
      <c r="Q28" s="60"/>
      <c r="R28" s="60"/>
      <c r="S28" s="162">
        <f>SUM(Table41918[[#This Row],[Jul]:[Jun]])</f>
        <v>0</v>
      </c>
    </row>
    <row r="29" spans="3:19" ht="24.75" customHeight="1" x14ac:dyDescent="0.35">
      <c r="C29" s="15">
        <v>54497</v>
      </c>
      <c r="D29" s="167" t="s">
        <v>115</v>
      </c>
      <c r="E29" s="20">
        <v>77</v>
      </c>
      <c r="F29" s="31">
        <f>SUM('Servings to DF Pounds'!L36,'Cases to DF Pounds'!J36)-Table41918[[#This Row],[Total Cases]]</f>
        <v>0</v>
      </c>
      <c r="G29" s="60"/>
      <c r="H29" s="60"/>
      <c r="I29" s="60"/>
      <c r="J29" s="60"/>
      <c r="K29" s="60"/>
      <c r="L29" s="60"/>
      <c r="M29" s="60"/>
      <c r="N29" s="60"/>
      <c r="O29" s="60"/>
      <c r="P29" s="60"/>
      <c r="Q29" s="60"/>
      <c r="R29" s="60"/>
      <c r="S29" s="162">
        <f>SUM(Table41918[[#This Row],[Jul]:[Jun]])</f>
        <v>0</v>
      </c>
    </row>
    <row r="30" spans="3:19" ht="24.75" customHeight="1" x14ac:dyDescent="0.35">
      <c r="C30" s="105"/>
      <c r="D30" s="106"/>
      <c r="E30" s="108"/>
      <c r="F30" s="107"/>
      <c r="G30" s="168">
        <f>SUBTOTAL(109,Table41918[Jul])</f>
        <v>0</v>
      </c>
      <c r="H30" s="168">
        <f>SUBTOTAL(109,Table41918[Aug])</f>
        <v>0</v>
      </c>
      <c r="I30" s="168">
        <f>SUBTOTAL(109,Table41918[Sep])</f>
        <v>0</v>
      </c>
      <c r="J30" s="168">
        <f>SUBTOTAL(109,Table41918[Oct])</f>
        <v>0</v>
      </c>
      <c r="K30" s="168">
        <f>SUBTOTAL(109,Table41918[Nov])</f>
        <v>0</v>
      </c>
      <c r="L30" s="168">
        <f>SUBTOTAL(109,Table41918[Dec])</f>
        <v>0</v>
      </c>
      <c r="M30" s="168">
        <f>SUBTOTAL(109,Table41918[Jan])</f>
        <v>0</v>
      </c>
      <c r="N30" s="168">
        <f>SUBTOTAL(109,Table41918[Feb])</f>
        <v>0</v>
      </c>
      <c r="O30" s="168">
        <f>SUBTOTAL(109,Table41918[Mar])</f>
        <v>0</v>
      </c>
      <c r="P30" s="168">
        <f>SUBTOTAL(109,Table41918[Apr])</f>
        <v>0</v>
      </c>
      <c r="Q30" s="168">
        <f>SUBTOTAL(109,Table41918[May])</f>
        <v>0</v>
      </c>
      <c r="R30" s="168">
        <f>SUBTOTAL(109,Table41918[Jun])</f>
        <v>0</v>
      </c>
      <c r="S30" s="169">
        <f>SUBTOTAL(109,Table41918[Total Cases])</f>
        <v>0</v>
      </c>
    </row>
    <row r="31" spans="3:19" s="10" customFormat="1" ht="45" customHeight="1" x14ac:dyDescent="0.45">
      <c r="C31" s="105"/>
      <c r="D31" s="106"/>
      <c r="E31" s="106"/>
      <c r="F31" s="106"/>
      <c r="G31" s="106"/>
      <c r="H31" s="107"/>
      <c r="I31" s="108"/>
      <c r="J31" s="108"/>
      <c r="K31" s="108"/>
      <c r="L31" s="118"/>
      <c r="M31" s="126"/>
      <c r="N31" s="122"/>
      <c r="O31" s="123"/>
      <c r="P31" s="124"/>
      <c r="Q31" s="5"/>
      <c r="R31"/>
      <c r="S31" s="166"/>
    </row>
    <row r="32" spans="3:19" ht="31" x14ac:dyDescent="0.35">
      <c r="C32" s="73" t="s">
        <v>83</v>
      </c>
      <c r="D32" s="73"/>
      <c r="E32" s="129"/>
      <c r="F32" s="129"/>
      <c r="G32" s="76"/>
      <c r="H32" s="74"/>
      <c r="I32" s="129"/>
      <c r="J32" s="129"/>
      <c r="K32" s="76"/>
      <c r="L32" s="74"/>
      <c r="M32" s="3"/>
      <c r="N32" s="3"/>
      <c r="O32" s="76"/>
      <c r="P32" s="74"/>
      <c r="Q32" s="74"/>
      <c r="R32" s="74"/>
      <c r="S32" s="170"/>
    </row>
    <row r="33" spans="3:19" ht="64.5" customHeight="1" x14ac:dyDescent="0.35">
      <c r="C33" s="50" t="s">
        <v>0</v>
      </c>
      <c r="D33" s="51" t="s">
        <v>1</v>
      </c>
      <c r="E33" s="50" t="s">
        <v>6</v>
      </c>
      <c r="F33" s="50" t="s">
        <v>79</v>
      </c>
      <c r="G33" s="50" t="s">
        <v>66</v>
      </c>
      <c r="H33" s="50" t="s">
        <v>67</v>
      </c>
      <c r="I33" s="50" t="s">
        <v>68</v>
      </c>
      <c r="J33" s="50" t="s">
        <v>69</v>
      </c>
      <c r="K33" s="50" t="s">
        <v>70</v>
      </c>
      <c r="L33" s="50" t="s">
        <v>71</v>
      </c>
      <c r="M33" s="50" t="s">
        <v>72</v>
      </c>
      <c r="N33" s="50" t="s">
        <v>73</v>
      </c>
      <c r="O33" s="50" t="s">
        <v>74</v>
      </c>
      <c r="P33" s="50" t="s">
        <v>75</v>
      </c>
      <c r="Q33" s="50" t="s">
        <v>76</v>
      </c>
      <c r="R33" s="50" t="s">
        <v>77</v>
      </c>
      <c r="S33" s="50" t="s">
        <v>78</v>
      </c>
    </row>
    <row r="34" spans="3:19" s="5" customFormat="1" ht="24.75" customHeight="1" x14ac:dyDescent="0.45">
      <c r="C34" s="15">
        <v>81401</v>
      </c>
      <c r="D34" s="167" t="s">
        <v>99</v>
      </c>
      <c r="E34" s="20">
        <v>232</v>
      </c>
      <c r="F34" s="20">
        <f>SUM('Servings to DF Pounds'!L42,'Cases to DF Pounds'!J42)-Table5202220[[#This Row],[Total Cases]]</f>
        <v>0</v>
      </c>
      <c r="G34" s="60"/>
      <c r="H34" s="60"/>
      <c r="I34" s="60"/>
      <c r="J34" s="60"/>
      <c r="K34" s="60"/>
      <c r="L34" s="60"/>
      <c r="M34" s="60"/>
      <c r="N34" s="60"/>
      <c r="O34" s="60"/>
      <c r="P34" s="60"/>
      <c r="Q34" s="60"/>
      <c r="R34" s="60"/>
      <c r="S34" s="162">
        <f>SUM(Table5202220[[#This Row],[Jul]:[Jun]])</f>
        <v>0</v>
      </c>
    </row>
    <row r="35" spans="3:19" s="10" customFormat="1" ht="24.75" customHeight="1" x14ac:dyDescent="0.35">
      <c r="C35" s="15">
        <v>94403</v>
      </c>
      <c r="D35" s="167" t="s">
        <v>100</v>
      </c>
      <c r="E35" s="20">
        <v>78</v>
      </c>
      <c r="F35" s="20">
        <f>SUM('Servings to DF Pounds'!L43,'Cases to DF Pounds'!J43)-Table5202220[[#This Row],[Total Cases]]</f>
        <v>0</v>
      </c>
      <c r="G35" s="60"/>
      <c r="H35" s="60"/>
      <c r="I35" s="60"/>
      <c r="J35" s="60"/>
      <c r="K35" s="60"/>
      <c r="L35" s="60"/>
      <c r="M35" s="60"/>
      <c r="N35" s="60"/>
      <c r="O35" s="60"/>
      <c r="P35" s="60"/>
      <c r="Q35" s="60"/>
      <c r="R35" s="60"/>
      <c r="S35" s="162">
        <f>SUM(Table5202220[[#This Row],[Jul]:[Jun]])</f>
        <v>0</v>
      </c>
    </row>
    <row r="36" spans="3:19" s="10" customFormat="1" ht="24.75" customHeight="1" x14ac:dyDescent="0.35">
      <c r="C36" s="15">
        <v>91401</v>
      </c>
      <c r="D36" s="167" t="s">
        <v>101</v>
      </c>
      <c r="E36" s="20">
        <v>123</v>
      </c>
      <c r="F36" s="20">
        <f>SUM('Servings to DF Pounds'!L44,'Cases to DF Pounds'!J44)-Table5202220[[#This Row],[Total Cases]]</f>
        <v>0</v>
      </c>
      <c r="G36" s="60"/>
      <c r="H36" s="60"/>
      <c r="I36" s="60"/>
      <c r="J36" s="60"/>
      <c r="K36" s="60"/>
      <c r="L36" s="60"/>
      <c r="M36" s="60"/>
      <c r="N36" s="60"/>
      <c r="O36" s="60"/>
      <c r="P36" s="60"/>
      <c r="Q36" s="60"/>
      <c r="R36" s="60"/>
      <c r="S36" s="162">
        <f>SUM(Table5202220[[#This Row],[Jul]:[Jun]])</f>
        <v>0</v>
      </c>
    </row>
    <row r="37" spans="3:19" s="10" customFormat="1" ht="24.75" customHeight="1" x14ac:dyDescent="0.35">
      <c r="C37" s="15">
        <v>91402</v>
      </c>
      <c r="D37" s="167" t="s">
        <v>102</v>
      </c>
      <c r="E37" s="20">
        <v>123</v>
      </c>
      <c r="F37" s="20">
        <f>SUM('Servings to DF Pounds'!L45,'Cases to DF Pounds'!J45)-Table5202220[[#This Row],[Total Cases]]</f>
        <v>0</v>
      </c>
      <c r="G37" s="60"/>
      <c r="H37" s="60"/>
      <c r="I37" s="60"/>
      <c r="J37" s="60"/>
      <c r="K37" s="60"/>
      <c r="L37" s="60"/>
      <c r="M37" s="60"/>
      <c r="N37" s="60"/>
      <c r="O37" s="60"/>
      <c r="P37" s="60"/>
      <c r="Q37" s="60"/>
      <c r="R37" s="60"/>
      <c r="S37" s="162">
        <f>SUM(Table5202220[[#This Row],[Jul]:[Jun]])</f>
        <v>0</v>
      </c>
    </row>
    <row r="38" spans="3:19" s="10" customFormat="1" ht="24.75" customHeight="1" x14ac:dyDescent="0.35">
      <c r="C38" s="15">
        <v>91409</v>
      </c>
      <c r="D38" s="167" t="s">
        <v>103</v>
      </c>
      <c r="E38" s="20">
        <v>123</v>
      </c>
      <c r="F38" s="20">
        <f>SUM('Servings to DF Pounds'!L46,'Cases to DF Pounds'!J46)-Table5202220[[#This Row],[Total Cases]]</f>
        <v>0</v>
      </c>
      <c r="G38" s="60"/>
      <c r="H38" s="60"/>
      <c r="I38" s="60"/>
      <c r="J38" s="60"/>
      <c r="K38" s="60"/>
      <c r="L38" s="60"/>
      <c r="M38" s="60"/>
      <c r="N38" s="60"/>
      <c r="O38" s="60"/>
      <c r="P38" s="60"/>
      <c r="Q38" s="60"/>
      <c r="R38" s="60"/>
      <c r="S38" s="162">
        <f>SUM(Table5202220[[#This Row],[Jul]:[Jun]])</f>
        <v>0</v>
      </c>
    </row>
    <row r="39" spans="3:19" ht="24.75" hidden="1" customHeight="1" x14ac:dyDescent="0.35">
      <c r="C39" s="15">
        <v>91410</v>
      </c>
      <c r="D39" s="167" t="s">
        <v>104</v>
      </c>
      <c r="E39" s="20">
        <v>123</v>
      </c>
      <c r="F39" s="20">
        <f>SUM('Servings to DF Pounds'!L47,'Cases to DF Pounds'!J47)-Table5202220[[#This Row],[Total Cases]]</f>
        <v>0</v>
      </c>
      <c r="G39" s="60"/>
      <c r="H39" s="60"/>
      <c r="I39" s="60"/>
      <c r="J39" s="60"/>
      <c r="K39" s="60"/>
      <c r="L39" s="60"/>
      <c r="M39" s="60"/>
      <c r="N39" s="60"/>
      <c r="O39" s="60"/>
      <c r="P39" s="60"/>
      <c r="Q39" s="60"/>
      <c r="R39" s="60"/>
      <c r="S39" s="162">
        <f>SUM(Table5202220[[#This Row],[Jul]:[Jun]])</f>
        <v>0</v>
      </c>
    </row>
    <row r="40" spans="3:19" ht="24.75" customHeight="1" x14ac:dyDescent="0.35">
      <c r="C40" s="105"/>
      <c r="D40" s="106"/>
      <c r="E40" s="108"/>
      <c r="F40" s="107"/>
      <c r="G40" s="120">
        <f>SUBTOTAL(109,Table5202220[Jul])</f>
        <v>0</v>
      </c>
      <c r="H40" s="120">
        <f>SUBTOTAL(109,Table5202220[Aug])</f>
        <v>0</v>
      </c>
      <c r="I40" s="120">
        <f>SUBTOTAL(109,Table5202220[Sep])</f>
        <v>0</v>
      </c>
      <c r="J40" s="120">
        <f>SUBTOTAL(109,Table5202220[Oct])</f>
        <v>0</v>
      </c>
      <c r="K40" s="120">
        <f>SUBTOTAL(109,Table5202220[Nov])</f>
        <v>0</v>
      </c>
      <c r="L40" s="120">
        <f>SUBTOTAL(109,Table5202220[Dec])</f>
        <v>0</v>
      </c>
      <c r="M40" s="120">
        <f>SUBTOTAL(109,Table5202220[Jan])</f>
        <v>0</v>
      </c>
      <c r="N40" s="120">
        <f>SUBTOTAL(109,Table5202220[Feb])</f>
        <v>0</v>
      </c>
      <c r="O40" s="120">
        <f>SUBTOTAL(109,Table5202220[Mar])</f>
        <v>0</v>
      </c>
      <c r="P40" s="120">
        <f>SUBTOTAL(109,Table5202220[Apr])</f>
        <v>0</v>
      </c>
      <c r="Q40" s="120">
        <f>SUBTOTAL(109,Table5202220[May])</f>
        <v>0</v>
      </c>
      <c r="R40" s="120">
        <f>SUBTOTAL(109,Table5202220[Jun])</f>
        <v>0</v>
      </c>
      <c r="S40" s="169">
        <f>SUBTOTAL(109,Table5202220[Total Cases])</f>
        <v>0</v>
      </c>
    </row>
    <row r="41" spans="3:19" ht="50.25" customHeight="1" x14ac:dyDescent="0.45">
      <c r="C41" s="105"/>
      <c r="D41" s="106"/>
      <c r="E41" s="106"/>
      <c r="F41" s="106"/>
      <c r="G41" s="106"/>
      <c r="H41" s="107"/>
      <c r="I41" s="108"/>
      <c r="J41" s="108"/>
      <c r="K41" s="108"/>
      <c r="L41" s="118"/>
      <c r="M41" s="126"/>
      <c r="N41" s="127"/>
      <c r="O41" s="125"/>
      <c r="P41" s="125"/>
    </row>
    <row r="42" spans="3:19" s="1" customFormat="1" ht="33.5" x14ac:dyDescent="0.35">
      <c r="C42" s="84" t="s">
        <v>31</v>
      </c>
      <c r="D42" s="84"/>
      <c r="E42" s="84"/>
      <c r="F42" s="84"/>
      <c r="G42" s="63"/>
      <c r="H42" s="63"/>
      <c r="I42" s="66"/>
      <c r="J42" s="85"/>
      <c r="K42" s="63"/>
      <c r="L42" s="63"/>
      <c r="M42" s="27"/>
      <c r="N42" s="57"/>
      <c r="O42" s="57"/>
      <c r="P42" s="57"/>
      <c r="Q42" s="57"/>
      <c r="R42" s="57"/>
      <c r="S42" s="171"/>
    </row>
    <row r="43" spans="3:19" s="1" customFormat="1" ht="64.5" customHeight="1" x14ac:dyDescent="0.35">
      <c r="C43" s="48" t="s">
        <v>0</v>
      </c>
      <c r="D43" s="49" t="s">
        <v>1</v>
      </c>
      <c r="E43" s="48" t="s">
        <v>6</v>
      </c>
      <c r="F43" s="48" t="s">
        <v>79</v>
      </c>
      <c r="G43" s="48" t="s">
        <v>66</v>
      </c>
      <c r="H43" s="48" t="s">
        <v>67</v>
      </c>
      <c r="I43" s="48" t="s">
        <v>68</v>
      </c>
      <c r="J43" s="48" t="s">
        <v>69</v>
      </c>
      <c r="K43" s="48" t="s">
        <v>70</v>
      </c>
      <c r="L43" s="48" t="s">
        <v>71</v>
      </c>
      <c r="M43" s="48" t="s">
        <v>72</v>
      </c>
      <c r="N43" s="48" t="s">
        <v>73</v>
      </c>
      <c r="O43" s="48" t="s">
        <v>74</v>
      </c>
      <c r="P43" s="48" t="s">
        <v>75</v>
      </c>
      <c r="Q43" s="48" t="s">
        <v>76</v>
      </c>
      <c r="R43" s="48" t="s">
        <v>77</v>
      </c>
      <c r="S43" s="48" t="s">
        <v>78</v>
      </c>
    </row>
    <row r="44" spans="3:19" s="1" customFormat="1" ht="24.75" customHeight="1" x14ac:dyDescent="0.35">
      <c r="C44" s="15">
        <v>54405</v>
      </c>
      <c r="D44" s="167" t="s">
        <v>134</v>
      </c>
      <c r="E44" s="20">
        <v>156</v>
      </c>
      <c r="F44" s="160">
        <f>SUM('Servings to DF Pounds'!L52,'Cases to DF Pounds'!J52-Table52019[[#This Row],[Total Cases]])</f>
        <v>0</v>
      </c>
      <c r="G44" s="60"/>
      <c r="H44" s="60"/>
      <c r="I44" s="60"/>
      <c r="J44" s="60"/>
      <c r="K44" s="60"/>
      <c r="L44" s="60"/>
      <c r="M44" s="60"/>
      <c r="N44" s="60"/>
      <c r="O44" s="60"/>
      <c r="P44" s="60"/>
      <c r="Q44" s="60"/>
      <c r="R44" s="60"/>
      <c r="S44" s="162">
        <f>SUM(Table52019[[#This Row],[Jul]:[Jun]])</f>
        <v>0</v>
      </c>
    </row>
    <row r="45" spans="3:19" s="6" customFormat="1" ht="24.75" customHeight="1" x14ac:dyDescent="0.35">
      <c r="C45" s="15">
        <v>54409</v>
      </c>
      <c r="D45" s="167" t="s">
        <v>105</v>
      </c>
      <c r="E45" s="20">
        <v>107</v>
      </c>
      <c r="F45" s="160">
        <f>SUM('Servings to DF Pounds'!L53,'Cases to DF Pounds'!J53-Table52019[[#This Row],[Total Cases]])</f>
        <v>0</v>
      </c>
      <c r="G45" s="60"/>
      <c r="H45" s="60"/>
      <c r="I45" s="60"/>
      <c r="J45" s="60"/>
      <c r="K45" s="60"/>
      <c r="L45" s="60"/>
      <c r="M45" s="60"/>
      <c r="N45" s="60"/>
      <c r="O45" s="60"/>
      <c r="P45" s="60"/>
      <c r="Q45" s="60"/>
      <c r="R45" s="60"/>
      <c r="S45" s="162">
        <f>SUM(Table52019[[#This Row],[Jul]:[Jun]])</f>
        <v>0</v>
      </c>
    </row>
    <row r="46" spans="3:19" s="1" customFormat="1" ht="24.75" customHeight="1" x14ac:dyDescent="0.35">
      <c r="C46" s="15">
        <v>54410</v>
      </c>
      <c r="D46" s="167" t="s">
        <v>106</v>
      </c>
      <c r="E46" s="20">
        <v>107</v>
      </c>
      <c r="F46" s="160">
        <f>SUM('Servings to DF Pounds'!L54,'Cases to DF Pounds'!J54-Table52019[[#This Row],[Total Cases]])</f>
        <v>0</v>
      </c>
      <c r="G46" s="60"/>
      <c r="H46" s="60"/>
      <c r="I46" s="60"/>
      <c r="J46" s="60"/>
      <c r="K46" s="60"/>
      <c r="L46" s="60"/>
      <c r="M46" s="60"/>
      <c r="N46" s="60"/>
      <c r="O46" s="60"/>
      <c r="P46" s="60"/>
      <c r="Q46" s="60"/>
      <c r="R46" s="60"/>
      <c r="S46" s="162">
        <f>SUM(Table52019[[#This Row],[Jul]:[Jun]])</f>
        <v>0</v>
      </c>
    </row>
    <row r="47" spans="3:19" s="1" customFormat="1" ht="24.75" customHeight="1" x14ac:dyDescent="0.35">
      <c r="C47" s="15">
        <v>54411</v>
      </c>
      <c r="D47" s="167" t="s">
        <v>107</v>
      </c>
      <c r="E47" s="20">
        <v>214</v>
      </c>
      <c r="F47" s="160">
        <f>SUM('Servings to DF Pounds'!L55,'Cases to DF Pounds'!J55-Table52019[[#This Row],[Total Cases]])</f>
        <v>0</v>
      </c>
      <c r="G47" s="60"/>
      <c r="H47" s="60"/>
      <c r="I47" s="60"/>
      <c r="J47" s="60"/>
      <c r="K47" s="60"/>
      <c r="L47" s="60"/>
      <c r="M47" s="60"/>
      <c r="N47" s="60"/>
      <c r="O47" s="60"/>
      <c r="P47" s="60"/>
      <c r="Q47" s="60"/>
      <c r="R47" s="60"/>
      <c r="S47" s="162">
        <f>SUM(Table52019[[#This Row],[Jul]:[Jun]])</f>
        <v>0</v>
      </c>
    </row>
    <row r="48" spans="3:19" s="1" customFormat="1" ht="24.75" customHeight="1" x14ac:dyDescent="0.35">
      <c r="C48" s="15">
        <v>54453</v>
      </c>
      <c r="D48" s="167" t="s">
        <v>108</v>
      </c>
      <c r="E48" s="20">
        <v>107</v>
      </c>
      <c r="F48" s="160">
        <f>SUM('Servings to DF Pounds'!L56,'Cases to DF Pounds'!J56-Table52019[[#This Row],[Total Cases]])</f>
        <v>0</v>
      </c>
      <c r="G48" s="60"/>
      <c r="H48" s="60"/>
      <c r="I48" s="60"/>
      <c r="J48" s="60"/>
      <c r="K48" s="60"/>
      <c r="L48" s="60"/>
      <c r="M48" s="60"/>
      <c r="N48" s="60"/>
      <c r="O48" s="60"/>
      <c r="P48" s="60"/>
      <c r="Q48" s="60"/>
      <c r="R48" s="60"/>
      <c r="S48" s="162">
        <f>SUM(Table52019[[#This Row],[Jul]:[Jun]])</f>
        <v>0</v>
      </c>
    </row>
    <row r="49" spans="3:22" s="1" customFormat="1" ht="24.75" customHeight="1" x14ac:dyDescent="0.35">
      <c r="C49" s="15">
        <v>54463</v>
      </c>
      <c r="D49" s="167" t="s">
        <v>109</v>
      </c>
      <c r="E49" s="20">
        <v>107</v>
      </c>
      <c r="F49" s="160">
        <f>SUM('Servings to DF Pounds'!L57,'Cases to DF Pounds'!J57-Table52019[[#This Row],[Total Cases]])</f>
        <v>0</v>
      </c>
      <c r="G49" s="60"/>
      <c r="H49" s="60"/>
      <c r="I49" s="60"/>
      <c r="J49" s="60"/>
      <c r="K49" s="60"/>
      <c r="L49" s="60"/>
      <c r="M49" s="60"/>
      <c r="N49" s="60"/>
      <c r="O49" s="60"/>
      <c r="P49" s="60"/>
      <c r="Q49" s="60"/>
      <c r="R49" s="60"/>
      <c r="S49" s="162">
        <f>SUM(Table52019[[#This Row],[Jul]:[Jun]])</f>
        <v>0</v>
      </c>
    </row>
    <row r="50" spans="3:22" s="1" customFormat="1" ht="24.75" customHeight="1" x14ac:dyDescent="0.35">
      <c r="C50" s="15">
        <v>54464</v>
      </c>
      <c r="D50" s="167" t="s">
        <v>116</v>
      </c>
      <c r="E50" s="20">
        <v>107</v>
      </c>
      <c r="F50" s="160">
        <f>SUM('Servings to DF Pounds'!L58,'Cases to DF Pounds'!J58-Table52019[[#This Row],[Total Cases]])</f>
        <v>0</v>
      </c>
      <c r="G50" s="60"/>
      <c r="H50" s="60"/>
      <c r="I50" s="60"/>
      <c r="J50" s="60"/>
      <c r="K50" s="60"/>
      <c r="L50" s="60"/>
      <c r="M50" s="60"/>
      <c r="N50" s="60"/>
      <c r="O50" s="60"/>
      <c r="P50" s="60"/>
      <c r="Q50" s="60"/>
      <c r="R50" s="60"/>
      <c r="S50" s="162">
        <f>SUM(Table52019[[#This Row],[Jul]:[Jun]])</f>
        <v>0</v>
      </c>
      <c r="V50"/>
    </row>
    <row r="51" spans="3:22" s="1" customFormat="1" ht="24.75" customHeight="1" x14ac:dyDescent="0.45">
      <c r="C51" s="105"/>
      <c r="D51" s="106"/>
      <c r="E51" s="108"/>
      <c r="F51" s="107"/>
      <c r="G51" s="139">
        <f>SUBTOTAL(109,Table52019[Jul])</f>
        <v>0</v>
      </c>
      <c r="H51" s="139">
        <f>SUBTOTAL(109,Table52019[Aug])</f>
        <v>0</v>
      </c>
      <c r="I51" s="139">
        <f>SUBTOTAL(109,Table52019[Sep])</f>
        <v>0</v>
      </c>
      <c r="J51" s="139">
        <f>SUBTOTAL(109,Table52019[Oct])</f>
        <v>0</v>
      </c>
      <c r="K51" s="139">
        <f>SUBTOTAL(109,Table52019[Nov])</f>
        <v>0</v>
      </c>
      <c r="L51" s="139">
        <f>SUBTOTAL(109,Table52019[Dec])</f>
        <v>0</v>
      </c>
      <c r="M51" s="139">
        <f>SUBTOTAL(109,Table52019[Jan])</f>
        <v>0</v>
      </c>
      <c r="N51" s="139">
        <f>SUBTOTAL(109,Table52019[Feb])</f>
        <v>0</v>
      </c>
      <c r="O51" s="139">
        <f>SUBTOTAL(109,Table52019[Mar])</f>
        <v>0</v>
      </c>
      <c r="P51" s="139">
        <f>SUBTOTAL(109,Table52019[Apr])</f>
        <v>0</v>
      </c>
      <c r="Q51" s="139">
        <f>SUBTOTAL(109,Table52019[May])</f>
        <v>0</v>
      </c>
      <c r="R51" s="139">
        <f>SUBTOTAL(109,Table52019[Jun])</f>
        <v>0</v>
      </c>
      <c r="S51" s="169">
        <f>SUBTOTAL(109,Table52019[Total Cases])</f>
        <v>0</v>
      </c>
      <c r="V51"/>
    </row>
    <row r="52" spans="3:22" s="1" customFormat="1" ht="18.5" x14ac:dyDescent="0.45">
      <c r="C52" s="105"/>
      <c r="D52" s="106"/>
      <c r="E52" s="106"/>
      <c r="F52" s="106"/>
      <c r="G52" s="106"/>
      <c r="H52" s="107"/>
      <c r="I52" s="108"/>
      <c r="J52" s="108"/>
      <c r="K52" s="116"/>
      <c r="L52" s="117"/>
      <c r="M52" s="151"/>
      <c r="N52" s="127"/>
      <c r="O52" s="152"/>
      <c r="P52" s="152"/>
      <c r="S52" s="172"/>
    </row>
    <row r="53" spans="3:22" s="1" customFormat="1" ht="31" x14ac:dyDescent="0.45">
      <c r="C53" s="173" t="s">
        <v>84</v>
      </c>
      <c r="D53" s="141"/>
      <c r="E53" s="141"/>
      <c r="F53" s="141"/>
      <c r="G53" s="141"/>
      <c r="H53" s="142"/>
      <c r="I53" s="143"/>
      <c r="J53" s="144"/>
      <c r="K53" s="145"/>
      <c r="L53" s="146"/>
      <c r="M53" s="147"/>
      <c r="N53" s="147"/>
      <c r="O53" s="174"/>
      <c r="P53" s="174"/>
      <c r="Q53" s="174"/>
      <c r="R53" s="174"/>
      <c r="S53" s="175"/>
    </row>
    <row r="54" spans="3:22" s="1" customFormat="1" ht="64.5" customHeight="1" x14ac:dyDescent="0.35">
      <c r="C54" s="148" t="s">
        <v>0</v>
      </c>
      <c r="D54" s="149" t="s">
        <v>1</v>
      </c>
      <c r="E54" s="148" t="s">
        <v>6</v>
      </c>
      <c r="F54" s="148" t="s">
        <v>79</v>
      </c>
      <c r="G54" s="150" t="s">
        <v>66</v>
      </c>
      <c r="H54" s="150" t="s">
        <v>67</v>
      </c>
      <c r="I54" s="150" t="s">
        <v>68</v>
      </c>
      <c r="J54" s="150" t="s">
        <v>69</v>
      </c>
      <c r="K54" s="150" t="s">
        <v>70</v>
      </c>
      <c r="L54" s="150" t="s">
        <v>71</v>
      </c>
      <c r="M54" s="150" t="s">
        <v>72</v>
      </c>
      <c r="N54" s="150" t="s">
        <v>73</v>
      </c>
      <c r="O54" s="150" t="s">
        <v>74</v>
      </c>
      <c r="P54" s="150" t="s">
        <v>75</v>
      </c>
      <c r="Q54" s="150" t="s">
        <v>76</v>
      </c>
      <c r="R54" s="150" t="s">
        <v>77</v>
      </c>
      <c r="S54" s="148" t="s">
        <v>78</v>
      </c>
    </row>
    <row r="55" spans="3:22" s="1" customFormat="1" ht="24.75" customHeight="1" x14ac:dyDescent="0.35">
      <c r="C55" s="15">
        <v>13424</v>
      </c>
      <c r="D55" s="167" t="s">
        <v>85</v>
      </c>
      <c r="E55" s="20">
        <v>78</v>
      </c>
      <c r="F55" s="176">
        <f>SUM('Servings to DF Pounds'!L64,'Cases to DF Pounds'!J64-Table52025121321[[#This Row],[Total Cases]])</f>
        <v>0</v>
      </c>
      <c r="G55" s="60"/>
      <c r="H55" s="60"/>
      <c r="I55" s="60"/>
      <c r="J55" s="60"/>
      <c r="K55" s="60"/>
      <c r="L55" s="60"/>
      <c r="M55" s="60"/>
      <c r="N55" s="60"/>
      <c r="O55" s="60"/>
      <c r="P55" s="60"/>
      <c r="Q55" s="60"/>
      <c r="R55" s="60"/>
      <c r="S55" s="165">
        <f>SUM(Table52025121321[[#This Row],[Jul]:[Jun]])</f>
        <v>0</v>
      </c>
    </row>
    <row r="56" spans="3:22" s="1" customFormat="1" ht="24.75" customHeight="1" x14ac:dyDescent="0.35">
      <c r="C56" s="15">
        <v>13445</v>
      </c>
      <c r="D56" s="159" t="s">
        <v>117</v>
      </c>
      <c r="E56" s="20">
        <v>78</v>
      </c>
      <c r="F56" s="176">
        <f>SUM('Servings to DF Pounds'!L65,'Cases to DF Pounds'!J65-Table52025121321[[#This Row],[Total Cases]])</f>
        <v>0</v>
      </c>
      <c r="G56" s="60"/>
      <c r="H56" s="60"/>
      <c r="I56" s="60"/>
      <c r="J56" s="60"/>
      <c r="K56" s="60"/>
      <c r="L56" s="60"/>
      <c r="M56" s="60"/>
      <c r="N56" s="60"/>
      <c r="O56" s="60"/>
      <c r="P56" s="60"/>
      <c r="Q56" s="60"/>
      <c r="R56" s="60"/>
      <c r="S56" s="165">
        <f>SUM(Table52025121321[[#This Row],[Jul]:[Jun]])</f>
        <v>0</v>
      </c>
    </row>
    <row r="57" spans="3:22" s="1" customFormat="1" ht="24.75" customHeight="1" x14ac:dyDescent="0.35">
      <c r="C57" s="15">
        <v>13429</v>
      </c>
      <c r="D57" s="159" t="s">
        <v>86</v>
      </c>
      <c r="E57" s="20">
        <v>156</v>
      </c>
      <c r="F57" s="160">
        <f>SUM('Servings to DF Pounds'!L66,'Cases to DF Pounds'!J66-Table52025121321[[#This Row],[Total Cases]])</f>
        <v>0</v>
      </c>
      <c r="G57" s="60"/>
      <c r="H57" s="60"/>
      <c r="I57" s="60"/>
      <c r="J57" s="60"/>
      <c r="K57" s="60"/>
      <c r="L57" s="60"/>
      <c r="M57" s="60"/>
      <c r="N57" s="60"/>
      <c r="O57" s="60"/>
      <c r="P57" s="60"/>
      <c r="Q57" s="60"/>
      <c r="R57" s="60"/>
      <c r="S57" s="165">
        <f>SUM(Table52025121321[[#This Row],[Jul]:[Jun]])</f>
        <v>0</v>
      </c>
    </row>
    <row r="58" spans="3:22" s="1" customFormat="1" ht="24.75" customHeight="1" x14ac:dyDescent="0.35">
      <c r="C58" s="15">
        <v>23409</v>
      </c>
      <c r="D58" s="159" t="s">
        <v>87</v>
      </c>
      <c r="E58" s="20">
        <v>78</v>
      </c>
      <c r="F58" s="160">
        <f>SUM('Servings to DF Pounds'!L67,'Cases to DF Pounds'!J67-Table52025121321[[#This Row],[Total Cases]])</f>
        <v>0</v>
      </c>
      <c r="G58" s="60"/>
      <c r="H58" s="60"/>
      <c r="I58" s="60"/>
      <c r="J58" s="60"/>
      <c r="K58" s="60"/>
      <c r="L58" s="60"/>
      <c r="M58" s="60"/>
      <c r="N58" s="60"/>
      <c r="O58" s="60"/>
      <c r="P58" s="60"/>
      <c r="Q58" s="60"/>
      <c r="R58" s="60"/>
      <c r="S58" s="165">
        <f>SUM(Table52025121321[[#This Row],[Jul]:[Jun]])</f>
        <v>0</v>
      </c>
    </row>
    <row r="59" spans="3:22" ht="24.75" customHeight="1" x14ac:dyDescent="0.35">
      <c r="C59" s="15">
        <v>43415</v>
      </c>
      <c r="D59" s="159" t="s">
        <v>88</v>
      </c>
      <c r="E59" s="20">
        <v>78</v>
      </c>
      <c r="F59" s="176">
        <f>SUM('Servings to DF Pounds'!L68,'Cases to DF Pounds'!J68-Table52025121321[[#This Row],[Total Cases]])</f>
        <v>0</v>
      </c>
      <c r="G59" s="60"/>
      <c r="H59" s="60"/>
      <c r="I59" s="60"/>
      <c r="J59" s="60"/>
      <c r="K59" s="60"/>
      <c r="L59" s="60"/>
      <c r="M59" s="60"/>
      <c r="N59" s="60"/>
      <c r="O59" s="60"/>
      <c r="P59" s="60"/>
      <c r="Q59" s="60"/>
      <c r="R59" s="60"/>
      <c r="S59" s="165">
        <f>SUM(Table52025121321[[#This Row],[Jul]:[Jun]])</f>
        <v>0</v>
      </c>
    </row>
    <row r="60" spans="3:22" ht="24.75" customHeight="1" x14ac:dyDescent="0.35">
      <c r="C60" s="15">
        <v>54440</v>
      </c>
      <c r="D60" s="159" t="s">
        <v>89</v>
      </c>
      <c r="E60" s="20">
        <v>107</v>
      </c>
      <c r="F60" s="176">
        <f>SUM('Servings to DF Pounds'!L69,'Cases to DF Pounds'!J69-Table52025121321[[#This Row],[Total Cases]])</f>
        <v>0</v>
      </c>
      <c r="G60" s="60"/>
      <c r="H60" s="60"/>
      <c r="I60" s="60"/>
      <c r="J60" s="60"/>
      <c r="K60" s="60"/>
      <c r="L60" s="60"/>
      <c r="M60" s="60"/>
      <c r="N60" s="60"/>
      <c r="O60" s="60"/>
      <c r="P60" s="60"/>
      <c r="Q60" s="60"/>
      <c r="R60" s="60"/>
      <c r="S60" s="165">
        <f>SUM(Table52025121321[[#This Row],[Jul]:[Jun]])</f>
        <v>0</v>
      </c>
    </row>
    <row r="61" spans="3:22" ht="24.75" customHeight="1" x14ac:dyDescent="0.35">
      <c r="C61" s="15">
        <v>54454</v>
      </c>
      <c r="D61" s="159" t="s">
        <v>90</v>
      </c>
      <c r="E61" s="20">
        <v>107</v>
      </c>
      <c r="F61" s="176">
        <f>SUM('Servings to DF Pounds'!L70,'Cases to DF Pounds'!J70-Table52025121321[[#This Row],[Total Cases]])</f>
        <v>0</v>
      </c>
      <c r="G61" s="60"/>
      <c r="H61" s="60"/>
      <c r="I61" s="60"/>
      <c r="J61" s="60"/>
      <c r="K61" s="60"/>
      <c r="L61" s="60"/>
      <c r="M61" s="60"/>
      <c r="N61" s="60"/>
      <c r="O61" s="60"/>
      <c r="P61" s="60"/>
      <c r="Q61" s="60"/>
      <c r="R61" s="60"/>
      <c r="S61" s="165">
        <f>SUM(Table52025121321[[#This Row],[Jul]:[Jun]])</f>
        <v>0</v>
      </c>
    </row>
    <row r="62" spans="3:22" ht="24.75" customHeight="1" x14ac:dyDescent="0.35">
      <c r="C62" s="15">
        <v>37101</v>
      </c>
      <c r="D62" s="167" t="s">
        <v>121</v>
      </c>
      <c r="E62" s="20">
        <v>123</v>
      </c>
      <c r="F62" s="176">
        <f>SUM('Servings to DF Pounds'!L71,'Cases to DF Pounds'!J71-Table52025121321[[#This Row],[Total Cases]])</f>
        <v>0</v>
      </c>
      <c r="G62" s="60"/>
      <c r="H62" s="60"/>
      <c r="I62" s="60"/>
      <c r="J62" s="60"/>
      <c r="K62" s="60"/>
      <c r="L62" s="60"/>
      <c r="M62" s="60"/>
      <c r="N62" s="60"/>
      <c r="O62" s="60"/>
      <c r="P62" s="60"/>
      <c r="Q62" s="60"/>
      <c r="R62" s="60"/>
      <c r="S62" s="189">
        <f>SUM(Table52025121321[[#This Row],[Jul]:[Jun]])</f>
        <v>0</v>
      </c>
    </row>
    <row r="63" spans="3:22" ht="24.75" customHeight="1" x14ac:dyDescent="0.35">
      <c r="C63" s="180">
        <v>94405</v>
      </c>
      <c r="D63" s="167" t="s">
        <v>122</v>
      </c>
      <c r="E63" s="20">
        <v>78</v>
      </c>
      <c r="F63" s="176">
        <f>SUM('Servings to DF Pounds'!L72,'Cases to DF Pounds'!J72-Table52025121321[[#This Row],[Total Cases]])</f>
        <v>0</v>
      </c>
      <c r="G63" s="60"/>
      <c r="H63" s="60"/>
      <c r="I63" s="60"/>
      <c r="J63" s="60"/>
      <c r="K63" s="60"/>
      <c r="L63" s="60"/>
      <c r="M63" s="60"/>
      <c r="N63" s="60"/>
      <c r="O63" s="60"/>
      <c r="P63" s="60"/>
      <c r="Q63" s="60"/>
      <c r="R63" s="60"/>
      <c r="S63" s="189">
        <f>SUM(Table52025121321[[#This Row],[Jul]:[Jun]])</f>
        <v>0</v>
      </c>
    </row>
    <row r="64" spans="3:22" ht="24.75" customHeight="1" x14ac:dyDescent="0.45">
      <c r="C64" s="105"/>
      <c r="D64" s="106"/>
      <c r="E64" s="108"/>
      <c r="F64" s="107"/>
      <c r="G64" s="113">
        <f>SUBTOTAL(109,Table52025121321[Jul])</f>
        <v>0</v>
      </c>
      <c r="H64" s="113">
        <f>SUBTOTAL(109,Table52025121321[Aug])</f>
        <v>0</v>
      </c>
      <c r="I64" s="113">
        <f>SUBTOTAL(109,Table52025121321[Sep])</f>
        <v>0</v>
      </c>
      <c r="J64" s="113">
        <f>SUBTOTAL(109,Table52025121321[Oct])</f>
        <v>0</v>
      </c>
      <c r="K64" s="113">
        <f>SUBTOTAL(109,Table52025121321[Nov])</f>
        <v>0</v>
      </c>
      <c r="L64" s="113">
        <f>SUBTOTAL(109,Table52025121321[Dec])</f>
        <v>0</v>
      </c>
      <c r="M64" s="113">
        <f>SUBTOTAL(109,Table52025121321[Jan])</f>
        <v>0</v>
      </c>
      <c r="N64" s="113">
        <f>SUBTOTAL(109,Table52025121321[Feb])</f>
        <v>0</v>
      </c>
      <c r="O64" s="113">
        <f>SUBTOTAL(109,Table52025121321[Mar])</f>
        <v>0</v>
      </c>
      <c r="P64" s="113">
        <f>SUBTOTAL(109,Table52025121321[Apr])</f>
        <v>0</v>
      </c>
      <c r="Q64" s="113">
        <f>SUBTOTAL(109,Table52025121321[May])</f>
        <v>0</v>
      </c>
      <c r="R64" s="113">
        <f>SUBTOTAL(109,Table52025121321[Jun])</f>
        <v>0</v>
      </c>
      <c r="S64" s="177">
        <f>SUBTOTAL(109,Table52025121321[Total Cases])</f>
        <v>0</v>
      </c>
    </row>
    <row r="65" spans="2:17" ht="51.75" customHeight="1" thickBot="1" x14ac:dyDescent="0.4">
      <c r="C65" s="1"/>
      <c r="D65" s="1"/>
      <c r="E65" s="1"/>
      <c r="F65" s="1"/>
      <c r="G65" s="1"/>
      <c r="H65" s="1"/>
      <c r="I65" s="1"/>
      <c r="J65" s="1"/>
      <c r="N65" s="1"/>
      <c r="O65" s="1"/>
      <c r="P65" s="1"/>
      <c r="Q65" s="1"/>
    </row>
    <row r="66" spans="2:17" ht="51.75" customHeight="1" x14ac:dyDescent="0.7">
      <c r="B66" s="233"/>
      <c r="C66" s="217" t="s">
        <v>58</v>
      </c>
      <c r="D66" s="234"/>
      <c r="E66" s="234"/>
      <c r="F66" s="234"/>
      <c r="G66" s="234"/>
      <c r="H66" s="235"/>
      <c r="I66" s="1"/>
      <c r="J66" s="1"/>
      <c r="N66" s="1"/>
      <c r="O66" s="1"/>
      <c r="P66" s="1"/>
      <c r="Q66" s="1"/>
    </row>
    <row r="67" spans="2:17" ht="60" customHeight="1" thickBot="1" x14ac:dyDescent="0.75">
      <c r="B67" s="236"/>
      <c r="C67" s="218" t="s">
        <v>59</v>
      </c>
      <c r="D67" s="219"/>
      <c r="E67" s="238"/>
      <c r="F67" s="238"/>
      <c r="G67" s="238"/>
      <c r="H67" s="239"/>
      <c r="I67" s="1"/>
      <c r="J67" s="1"/>
      <c r="N67" s="1"/>
      <c r="O67" s="1"/>
      <c r="P67" s="1"/>
      <c r="Q67" s="1"/>
    </row>
    <row r="68" spans="2:17" ht="51.75" customHeight="1" thickBot="1" x14ac:dyDescent="0.75">
      <c r="B68" s="236"/>
      <c r="C68" s="218" t="s">
        <v>60</v>
      </c>
      <c r="D68" s="221"/>
      <c r="E68" s="238"/>
      <c r="F68" s="238"/>
      <c r="G68" s="238"/>
      <c r="H68" s="239"/>
      <c r="I68" s="1"/>
      <c r="J68" s="1"/>
      <c r="N68" s="1"/>
      <c r="O68" s="1"/>
      <c r="P68" s="1"/>
      <c r="Q68" s="1"/>
    </row>
    <row r="69" spans="2:17" ht="60" customHeight="1" thickBot="1" x14ac:dyDescent="0.75">
      <c r="B69" s="236"/>
      <c r="C69" s="218" t="s">
        <v>61</v>
      </c>
      <c r="D69" s="221"/>
      <c r="E69" s="218" t="s">
        <v>62</v>
      </c>
      <c r="F69" s="219"/>
      <c r="G69" s="218" t="s">
        <v>63</v>
      </c>
      <c r="H69" s="222"/>
      <c r="I69" s="1"/>
      <c r="J69" s="1"/>
      <c r="N69" s="1"/>
      <c r="O69" s="1"/>
      <c r="P69" s="1"/>
      <c r="Q69" s="1"/>
    </row>
    <row r="70" spans="2:17" ht="46.5" customHeight="1" thickBot="1" x14ac:dyDescent="0.75">
      <c r="B70" s="242"/>
      <c r="C70" s="223" t="s">
        <v>64</v>
      </c>
      <c r="D70" s="221"/>
      <c r="E70" s="223" t="s">
        <v>65</v>
      </c>
      <c r="F70" s="219"/>
      <c r="G70" s="243"/>
      <c r="H70" s="244"/>
      <c r="I70" s="1"/>
      <c r="J70" s="1"/>
      <c r="N70" s="1"/>
      <c r="O70" s="1"/>
      <c r="P70" s="1"/>
      <c r="Q70" s="1"/>
    </row>
    <row r="71" spans="2:17" ht="15" customHeight="1" x14ac:dyDescent="0.35">
      <c r="C71" s="1"/>
      <c r="D71" s="1"/>
      <c r="E71" s="1"/>
      <c r="F71" s="1"/>
      <c r="G71" s="1"/>
      <c r="H71" s="1"/>
      <c r="I71" s="1"/>
      <c r="J71" s="1"/>
      <c r="N71" s="1"/>
      <c r="O71" s="1"/>
      <c r="P71" s="1"/>
    </row>
    <row r="72" spans="2:17" ht="15" customHeight="1" x14ac:dyDescent="0.35">
      <c r="C72" s="1"/>
      <c r="D72" s="1"/>
      <c r="E72" s="1"/>
      <c r="F72" s="1"/>
      <c r="G72" s="1"/>
      <c r="H72" s="1"/>
      <c r="I72" s="1"/>
      <c r="J72" s="1"/>
      <c r="N72" s="1"/>
      <c r="O72" s="1"/>
      <c r="P72" s="1"/>
    </row>
    <row r="73" spans="2:17" ht="15" customHeight="1" x14ac:dyDescent="0.35">
      <c r="C73" s="1"/>
      <c r="D73" s="1"/>
      <c r="E73" s="1"/>
      <c r="F73" s="1"/>
      <c r="G73" s="1"/>
      <c r="H73" s="1"/>
      <c r="I73" s="1"/>
      <c r="J73" s="1"/>
      <c r="N73" s="1"/>
      <c r="O73" s="1"/>
      <c r="P73" s="1"/>
    </row>
    <row r="74" spans="2:17" ht="15" customHeight="1" x14ac:dyDescent="0.35">
      <c r="C74" s="1"/>
      <c r="D74" s="1"/>
      <c r="E74" s="1"/>
      <c r="F74" s="1"/>
      <c r="G74" s="1"/>
      <c r="H74" s="1"/>
      <c r="I74" s="1"/>
      <c r="J74" s="1"/>
      <c r="N74" s="1"/>
      <c r="O74" s="1"/>
      <c r="P74" s="1"/>
    </row>
    <row r="75" spans="2:17" ht="15" customHeight="1" x14ac:dyDescent="0.35">
      <c r="C75" s="1"/>
      <c r="D75" s="1"/>
      <c r="E75" s="1"/>
      <c r="F75" s="1"/>
      <c r="G75" s="1"/>
      <c r="H75" s="1"/>
      <c r="I75" s="1"/>
      <c r="J75" s="1"/>
      <c r="N75" s="1"/>
      <c r="O75" s="1"/>
      <c r="P75" s="1"/>
    </row>
    <row r="76" spans="2:17" ht="15" customHeight="1" x14ac:dyDescent="0.35">
      <c r="C76" s="1"/>
      <c r="D76" s="1"/>
      <c r="E76" s="1"/>
      <c r="F76" s="1"/>
      <c r="G76" s="1"/>
      <c r="H76" s="1"/>
      <c r="I76" s="1"/>
      <c r="J76" s="1"/>
      <c r="N76" s="1"/>
      <c r="O76" s="1"/>
      <c r="P76" s="1"/>
    </row>
    <row r="77" spans="2:17" ht="15" customHeight="1" x14ac:dyDescent="0.35">
      <c r="C77" s="4"/>
      <c r="D77" s="1"/>
      <c r="E77" s="1"/>
      <c r="F77" s="1"/>
      <c r="G77" s="1"/>
      <c r="H77" s="1"/>
      <c r="I77" s="1"/>
      <c r="J77" s="1"/>
      <c r="N77" s="1"/>
      <c r="O77" s="1"/>
      <c r="P77" s="1"/>
    </row>
    <row r="78" spans="2:17" ht="15" customHeight="1" x14ac:dyDescent="0.35"/>
    <row r="79" spans="2:17" ht="15" customHeight="1" x14ac:dyDescent="0.35"/>
    <row r="80" spans="2:17" ht="15" customHeight="1" x14ac:dyDescent="0.35"/>
    <row r="81" spans="11:13" ht="15" customHeight="1" x14ac:dyDescent="0.35"/>
    <row r="82" spans="11:13" ht="15" customHeight="1" x14ac:dyDescent="0.35">
      <c r="L82"/>
      <c r="M82"/>
    </row>
    <row r="83" spans="11:13" ht="15" customHeight="1" x14ac:dyDescent="0.35">
      <c r="L83"/>
      <c r="M83"/>
    </row>
    <row r="84" spans="11:13" ht="15" customHeight="1" x14ac:dyDescent="0.35"/>
    <row r="85" spans="11:13" ht="15" customHeight="1" x14ac:dyDescent="0.35"/>
    <row r="86" spans="11:13" ht="15" customHeight="1" x14ac:dyDescent="0.35"/>
    <row r="87" spans="11:13" ht="15" customHeight="1" x14ac:dyDescent="0.35"/>
    <row r="88" spans="11:13" ht="15" customHeight="1" x14ac:dyDescent="0.35"/>
    <row r="89" spans="11:13" ht="15" customHeight="1" x14ac:dyDescent="0.35"/>
    <row r="90" spans="11:13" ht="15" customHeight="1" x14ac:dyDescent="0.35"/>
    <row r="91" spans="11:13" ht="15" customHeight="1" x14ac:dyDescent="0.35"/>
    <row r="92" spans="11:13" ht="15" customHeight="1" x14ac:dyDescent="0.35">
      <c r="K92"/>
      <c r="L92"/>
      <c r="M92"/>
    </row>
    <row r="93" spans="11:13" ht="15" customHeight="1" x14ac:dyDescent="0.35">
      <c r="K93"/>
      <c r="L93"/>
      <c r="M93"/>
    </row>
    <row r="94" spans="11:13" ht="15" customHeight="1" x14ac:dyDescent="0.35">
      <c r="K94"/>
      <c r="L94"/>
      <c r="M94"/>
    </row>
    <row r="95" spans="11:13" ht="15" customHeight="1" x14ac:dyDescent="0.35">
      <c r="K95"/>
      <c r="L95"/>
      <c r="M95"/>
    </row>
    <row r="96" spans="11:13" ht="15" customHeight="1" x14ac:dyDescent="0.35">
      <c r="K96"/>
      <c r="L96"/>
      <c r="M96"/>
    </row>
    <row r="97" spans="11:13" ht="15" customHeight="1" x14ac:dyDescent="0.35">
      <c r="K97"/>
      <c r="L97"/>
      <c r="M97"/>
    </row>
    <row r="98" spans="11:13" ht="15" customHeight="1" x14ac:dyDescent="0.35">
      <c r="K98"/>
      <c r="L98"/>
      <c r="M98"/>
    </row>
    <row r="99" spans="11:13" ht="15" customHeight="1" x14ac:dyDescent="0.35">
      <c r="K99"/>
      <c r="L99"/>
      <c r="M99"/>
    </row>
    <row r="100" spans="11:13" ht="15" customHeight="1" x14ac:dyDescent="0.35">
      <c r="K100"/>
      <c r="L100"/>
      <c r="M100"/>
    </row>
    <row r="101" spans="11:13" ht="15" customHeight="1" x14ac:dyDescent="0.35">
      <c r="K101"/>
      <c r="L101"/>
      <c r="M101"/>
    </row>
    <row r="102" spans="11:13" ht="15" customHeight="1" x14ac:dyDescent="0.35">
      <c r="K102"/>
      <c r="L102"/>
      <c r="M102"/>
    </row>
    <row r="103" spans="11:13" ht="15" customHeight="1" x14ac:dyDescent="0.35">
      <c r="K103"/>
      <c r="L103"/>
      <c r="M103"/>
    </row>
    <row r="104" spans="11:13" ht="15" customHeight="1" x14ac:dyDescent="0.35">
      <c r="K104"/>
      <c r="L104"/>
      <c r="M104"/>
    </row>
    <row r="105" spans="11:13" ht="15" customHeight="1" x14ac:dyDescent="0.35">
      <c r="K105"/>
      <c r="L105"/>
      <c r="M105"/>
    </row>
    <row r="106" spans="11:13" ht="15" customHeight="1" x14ac:dyDescent="0.35">
      <c r="K106"/>
      <c r="L106"/>
      <c r="M106"/>
    </row>
    <row r="107" spans="11:13" ht="15" customHeight="1" x14ac:dyDescent="0.35">
      <c r="K107"/>
      <c r="L107"/>
      <c r="M107"/>
    </row>
    <row r="108" spans="11:13" ht="15" customHeight="1" x14ac:dyDescent="0.35">
      <c r="K108"/>
      <c r="L108"/>
      <c r="M108"/>
    </row>
    <row r="109" spans="11:13" ht="15" customHeight="1" x14ac:dyDescent="0.35">
      <c r="K109"/>
      <c r="L109"/>
      <c r="M109"/>
    </row>
    <row r="110" spans="11:13" ht="15" customHeight="1" x14ac:dyDescent="0.35">
      <c r="K110"/>
      <c r="L110"/>
      <c r="M110"/>
    </row>
    <row r="111" spans="11:13" x14ac:dyDescent="0.35">
      <c r="K111"/>
      <c r="L111"/>
      <c r="M111"/>
    </row>
    <row r="112" spans="11:13" x14ac:dyDescent="0.35">
      <c r="K112"/>
      <c r="L112"/>
      <c r="M112"/>
    </row>
    <row r="113" spans="11:13" x14ac:dyDescent="0.35">
      <c r="K113"/>
      <c r="L113"/>
      <c r="M113"/>
    </row>
    <row r="114" spans="11:13" x14ac:dyDescent="0.35">
      <c r="K114"/>
      <c r="L114"/>
      <c r="M114"/>
    </row>
    <row r="115" spans="11:13" x14ac:dyDescent="0.35">
      <c r="K115"/>
      <c r="L115"/>
      <c r="M115"/>
    </row>
    <row r="116" spans="11:13" x14ac:dyDescent="0.35">
      <c r="K116"/>
      <c r="L116"/>
      <c r="M116"/>
    </row>
    <row r="117" spans="11:13" x14ac:dyDescent="0.35">
      <c r="K117"/>
      <c r="L117"/>
      <c r="M117"/>
    </row>
  </sheetData>
  <sheetProtection algorithmName="SHA-512" hashValue="xUnaUzWvq38w0A/VOvjZCVbxQo1ZYAuO1RnGb05eY4mL/q4s8wD5+UL1iteh+2r4unVzwKzTAQEllFVNLTGeRQ==" saltValue="6pRDvFqBUUuxR5qfmIfEEw==" spinCount="100000" sheet="1" objects="1" scenarios="1" selectLockedCells="1"/>
  <conditionalFormatting sqref="F14:F22 F24:F29 F34:F39 F44:F50 F55:F63">
    <cfRule type="cellIs" dxfId="0" priority="2" operator="greaterThan">
      <formula>0</formula>
    </cfRule>
  </conditionalFormatting>
  <printOptions horizontalCentered="1"/>
  <pageMargins left="0" right="0" top="0" bottom="0" header="0" footer="0"/>
  <pageSetup scale="37" fitToHeight="0" orientation="landscape" horizontalDpi="4294967295" verticalDpi="4294967295" r:id="rId1"/>
  <colBreaks count="1" manualBreakCount="1">
    <brk id="8" max="1048575" man="1"/>
  </colBreaks>
  <ignoredErrors>
    <ignoredError sqref="F44:F50" calculatedColumn="1"/>
  </ignoredError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35491-7B22-48F6-A15F-665FC817A43D}">
  <dimension ref="A1:C5"/>
  <sheetViews>
    <sheetView workbookViewId="0">
      <selection activeCell="A5" sqref="A5"/>
    </sheetView>
  </sheetViews>
  <sheetFormatPr defaultRowHeight="14.5" x14ac:dyDescent="0.35"/>
  <cols>
    <col min="1" max="1" width="38.54296875" bestFit="1" customWidth="1"/>
    <col min="2" max="2" width="57.26953125" bestFit="1" customWidth="1"/>
    <col min="3" max="3" width="45.7265625" bestFit="1" customWidth="1"/>
  </cols>
  <sheetData>
    <row r="1" spans="1:3" ht="18.5" x14ac:dyDescent="0.45">
      <c r="A1" s="248" t="s">
        <v>141</v>
      </c>
    </row>
    <row r="3" spans="1:3" x14ac:dyDescent="0.35">
      <c r="A3" t="s">
        <v>142</v>
      </c>
      <c r="B3" t="s">
        <v>143</v>
      </c>
      <c r="C3" t="s">
        <v>144</v>
      </c>
    </row>
    <row r="4" spans="1:3" x14ac:dyDescent="0.35">
      <c r="A4" s="249">
        <v>45642</v>
      </c>
      <c r="B4" t="s">
        <v>150</v>
      </c>
      <c r="C4" t="s">
        <v>151</v>
      </c>
    </row>
    <row r="5" spans="1:3" x14ac:dyDescent="0.35">
      <c r="A5" s="249">
        <v>45628</v>
      </c>
      <c r="B5" t="s">
        <v>145</v>
      </c>
      <c r="C5" t="s">
        <v>146</v>
      </c>
    </row>
  </sheetData>
  <sheetProtection algorithmName="SHA-512" hashValue="MWUCWA5hMBo8b1KzIpwvk1Av48vcm0Bmd0yf9RulEMA/KyWsvs+ARkiIu+XmSTEYVDBNIuVgfmEWL5+yfVOEVw==" saltValue="tPtjjDnfFOqbMhx6O4i40A==" spinCount="100000"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E4:Q28"/>
  <sheetViews>
    <sheetView topLeftCell="F20" workbookViewId="0">
      <selection activeCell="J44" sqref="J44"/>
    </sheetView>
  </sheetViews>
  <sheetFormatPr defaultColWidth="9.1796875" defaultRowHeight="14.5" x14ac:dyDescent="0.35"/>
  <cols>
    <col min="5" max="10" width="22.1796875" customWidth="1"/>
    <col min="14" max="14" width="58.81640625" customWidth="1"/>
    <col min="15" max="15" width="27.26953125" customWidth="1"/>
    <col min="16" max="17" width="25.7265625" customWidth="1"/>
  </cols>
  <sheetData>
    <row r="4" spans="5:6" ht="15" thickBot="1" x14ac:dyDescent="0.4"/>
    <row r="5" spans="5:6" ht="46.5" customHeight="1" x14ac:dyDescent="0.35">
      <c r="E5" s="83" t="s">
        <v>4</v>
      </c>
      <c r="F5" s="67" t="s">
        <v>19</v>
      </c>
    </row>
    <row r="6" spans="5:6" ht="19.5" customHeight="1" thickBot="1" x14ac:dyDescent="0.5">
      <c r="E6" s="102">
        <f>Table41922[[#Totals],[Total Servings]]+Table5202226[[#Totals],[Total Servings]]+Table52025[[#Totals],[Total Servings]]+Table5202512[[#Totals],[Total Servings]]</f>
        <v>0</v>
      </c>
      <c r="F6" s="103">
        <f>Table41922[[#Totals],[DF $ Value]]+Table5202226[[#Totals],[DF $ Value]]+Table52025[[#Totals],[DF $ Value]]+Table5202512[[#Totals],[DF $ Value]]</f>
        <v>0</v>
      </c>
    </row>
    <row r="11" spans="5:6" x14ac:dyDescent="0.35">
      <c r="E11" s="1"/>
    </row>
    <row r="12" spans="5:6" x14ac:dyDescent="0.35">
      <c r="E12" s="1"/>
    </row>
    <row r="13" spans="5:6" ht="29" x14ac:dyDescent="0.35">
      <c r="E13" s="3" t="s">
        <v>26</v>
      </c>
      <c r="F13" s="1"/>
    </row>
    <row r="14" spans="5:6" x14ac:dyDescent="0.35">
      <c r="E14" s="62">
        <f>(((Table41922[[#Totals],[DF Pounds WHITE]]+Table5202512[[#Totals],[DF Pounds WHITE]])*0.3109)/0.6891)-(Table5202226[[#Totals],[DF Pounds DARK]]+Table5202512[[#Totals],[DF Pounds DARK]])</f>
        <v>0</v>
      </c>
    </row>
    <row r="16" spans="5:6" x14ac:dyDescent="0.35">
      <c r="E16" s="1"/>
      <c r="F16" s="1"/>
    </row>
    <row r="17" spans="5:17" ht="29" x14ac:dyDescent="0.35">
      <c r="E17" s="3" t="s">
        <v>18</v>
      </c>
      <c r="F17" s="3" t="s">
        <v>17</v>
      </c>
      <c r="G17" s="3" t="s">
        <v>30</v>
      </c>
      <c r="H17" s="3" t="s">
        <v>28</v>
      </c>
      <c r="I17" s="3" t="s">
        <v>128</v>
      </c>
      <c r="J17" s="3" t="s">
        <v>127</v>
      </c>
    </row>
    <row r="18" spans="5:17" x14ac:dyDescent="0.35">
      <c r="E18" s="101">
        <f>ROUND(Table153322[Dark Meat DF Pounds Required]/53.3,0)</f>
        <v>0</v>
      </c>
      <c r="F18" s="101">
        <f>ROUND(Table153322[Dark Meat DF Pounds Required]/31.8,0)</f>
        <v>0</v>
      </c>
      <c r="G18" s="101">
        <f>ROUND(Table153322[Dark Meat DF Pounds Required]/39.27,0)</f>
        <v>0</v>
      </c>
      <c r="H18" s="101">
        <f>ROUND(Table153322[Dark Meat DF Pounds Required]/38.59,0)</f>
        <v>0</v>
      </c>
      <c r="I18" s="101">
        <f>ROUND(Table153322[Dark Meat DF Pounds Required]/47.63,0)</f>
        <v>0</v>
      </c>
      <c r="J18" s="101">
        <f>ROUND(Table153322[Dark Meat DF Pounds Required]/31.8,0)</f>
        <v>0</v>
      </c>
    </row>
    <row r="22" spans="5:17" ht="15" thickBot="1" x14ac:dyDescent="0.4"/>
    <row r="23" spans="5:17" ht="36" customHeight="1" x14ac:dyDescent="0.35">
      <c r="N23" s="100" t="s">
        <v>24</v>
      </c>
    </row>
    <row r="24" spans="5:17" ht="56.25" customHeight="1" thickBot="1" x14ac:dyDescent="1.05">
      <c r="N24" s="104">
        <f>SUM(Table41922[[#Totals],[DF Pounds WHITE]],Table5202226[[#Totals],[DF Pounds DARK]],Table52025[[#Totals],[DF Pounds WHITE]],Table52025[[#Totals],[DF Pounds DARK]])+Table5202512[[#Totals],[DF Pounds WHITE]]+Table5202512[[#Totals],[DF Pounds DARK]]</f>
        <v>0</v>
      </c>
    </row>
    <row r="25" spans="5:17" ht="15" thickBot="1" x14ac:dyDescent="0.4"/>
    <row r="26" spans="5:17" ht="24" customHeight="1" thickBot="1" x14ac:dyDescent="0.4">
      <c r="P26" s="255" t="s">
        <v>149</v>
      </c>
      <c r="Q26" s="256"/>
    </row>
    <row r="27" spans="5:17" ht="54.65" customHeight="1" x14ac:dyDescent="0.35">
      <c r="P27" s="250" t="s">
        <v>147</v>
      </c>
      <c r="Q27" s="250" t="s">
        <v>148</v>
      </c>
    </row>
    <row r="28" spans="5:17" ht="36.5" thickBot="1" x14ac:dyDescent="0.85">
      <c r="P28" s="251" t="str">
        <f>IF(N24=0,"",SUM(Table41922[[#Totals],[DF Pounds WHITE]],Table5202512[[#Totals],[DF Pounds WHITE]])/N24)</f>
        <v/>
      </c>
      <c r="Q28" s="251" t="str">
        <f>IF(N24=0,"",SUM(Table5202226[[#Totals],[DF Pounds DARK]],Table5202512[[#Totals],[DF Pounds DARK]])/N24)</f>
        <v/>
      </c>
    </row>
  </sheetData>
  <sheetProtection algorithmName="SHA-512" hashValue="VDmBGo4oihFz+090f8AMd2Su5nCnCtDZW+Xa+9K+lNDGa6V0qOm0lwdH9JNQYE1G5mfRnieeqgSHz2T6Uui1rA==" saltValue="9gS1xQ2aqQkw0RWTA5sonw==" spinCount="100000" sheet="1" objects="1" scenarios="1"/>
  <mergeCells count="1">
    <mergeCell ref="P26:Q26"/>
  </mergeCells>
  <pageMargins left="0.7" right="0.7" top="0.75" bottom="0.75" header="0.3" footer="0.3"/>
  <pageSetup orientation="portrait" horizontalDpi="4294967295" verticalDpi="4294967295" r:id="rId1"/>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E4:P31"/>
  <sheetViews>
    <sheetView topLeftCell="F16" workbookViewId="0">
      <selection activeCell="M27" sqref="M27"/>
    </sheetView>
  </sheetViews>
  <sheetFormatPr defaultRowHeight="14.5" x14ac:dyDescent="0.35"/>
  <cols>
    <col min="5" max="10" width="22.1796875" customWidth="1"/>
    <col min="11" max="11" width="9.1796875" customWidth="1"/>
    <col min="13" max="13" width="58.81640625" customWidth="1"/>
    <col min="14" max="14" width="27.26953125" customWidth="1"/>
    <col min="15" max="16" width="25.7265625" customWidth="1"/>
  </cols>
  <sheetData>
    <row r="4" spans="5:10" ht="15" thickBot="1" x14ac:dyDescent="0.4"/>
    <row r="5" spans="5:10" ht="46.5" customHeight="1" x14ac:dyDescent="0.35">
      <c r="E5" s="83" t="s">
        <v>4</v>
      </c>
      <c r="F5" s="67" t="s">
        <v>19</v>
      </c>
    </row>
    <row r="6" spans="5:10" ht="19" thickBot="1" x14ac:dyDescent="0.5">
      <c r="E6" s="68">
        <f>Table419[[#Totals],[Total Servings]]+Table52022[[#Totals],[Total Servings]]+Table520[[#Totals],[Total Servings]]+Table520251213[[#Totals],[Total Servings]]</f>
        <v>0</v>
      </c>
      <c r="F6" s="98">
        <f>Table419[[#Totals],[DF $ Value]]+Table52022[[#Totals],[DF $ Value]]+Table520[[#Totals],[DF $ Value]]+Table520251213[[#Totals],[DF $ Value]]</f>
        <v>0</v>
      </c>
    </row>
    <row r="13" spans="5:10" ht="78" customHeight="1" x14ac:dyDescent="0.35">
      <c r="E13" s="95" t="s">
        <v>21</v>
      </c>
      <c r="G13" s="95" t="s">
        <v>22</v>
      </c>
      <c r="H13" s="95" t="s">
        <v>13</v>
      </c>
      <c r="I13" s="95" t="s">
        <v>14</v>
      </c>
      <c r="J13" s="95" t="s">
        <v>15</v>
      </c>
    </row>
    <row r="14" spans="5:10" ht="27.75" customHeight="1" x14ac:dyDescent="0.35">
      <c r="E14" s="97">
        <f>(((Table419[[#Totals],[DF Pounds WHITE]]+Table520251213[[#Totals],[DF Pounds WHITE]])*0.3109)/0.6891)-((Table52022[[#Totals],[DF Pounds DARK]])+Table520251213[[#Totals],[DF Pounds DARK]])</f>
        <v>0</v>
      </c>
      <c r="G14" s="97">
        <f>Table40[Dark Pounds Needed to Balance Order]/53.3</f>
        <v>0</v>
      </c>
      <c r="H14" s="96">
        <f>G14*232</f>
        <v>0</v>
      </c>
      <c r="I14" s="96">
        <f>IF(Table204[[Dark Servings ]]&lt;0,Table204[[Dark Servings ]],Table204[Dark Cases Rounded]*232)</f>
        <v>0</v>
      </c>
      <c r="J14" s="96">
        <f>ROUNDDOWN(Table204[[ Sausage Dark Cases]],0)</f>
        <v>0</v>
      </c>
    </row>
    <row r="16" spans="5:10" ht="78" customHeight="1" x14ac:dyDescent="0.35">
      <c r="G16" s="95" t="s">
        <v>23</v>
      </c>
      <c r="H16" s="95" t="s">
        <v>13</v>
      </c>
      <c r="I16" s="95" t="s">
        <v>14</v>
      </c>
      <c r="J16" s="95" t="s">
        <v>15</v>
      </c>
    </row>
    <row r="17" spans="7:16" ht="27.75" customHeight="1" x14ac:dyDescent="0.35">
      <c r="G17" s="97">
        <f>Table40[Dark Pounds Needed to Balance Order]/31.8</f>
        <v>0</v>
      </c>
      <c r="H17" s="96">
        <f>G17*78</f>
        <v>0</v>
      </c>
      <c r="I17" s="96">
        <f>IF(Table20[[Dark Servings ]]&lt;0,Table20[[Dark Servings ]],Table20[Dark Cases Rounded]*78)</f>
        <v>0</v>
      </c>
      <c r="J17" s="96">
        <f>ROUNDDOWN(Table20[Popper Dark Cases],0)</f>
        <v>0</v>
      </c>
    </row>
    <row r="18" spans="7:16" ht="15" thickBot="1" x14ac:dyDescent="0.4"/>
    <row r="19" spans="7:16" ht="36" customHeight="1" x14ac:dyDescent="0.35">
      <c r="M19" s="100" t="s">
        <v>24</v>
      </c>
    </row>
    <row r="20" spans="7:16" ht="56.25" customHeight="1" thickBot="1" x14ac:dyDescent="1.05">
      <c r="G20" s="95" t="s">
        <v>29</v>
      </c>
      <c r="H20" s="95" t="s">
        <v>13</v>
      </c>
      <c r="I20" s="95" t="s">
        <v>14</v>
      </c>
      <c r="J20" s="95" t="s">
        <v>15</v>
      </c>
      <c r="M20" s="99">
        <f>SUM(Table419[[#Totals],[DF Pounds WHITE]],Table52022[[#Totals],[DF Pounds DARK]],Table520[[#Totals],[DF Pounds WHITE]],Table520[[#Totals],[DF Pounds DARK]])+Table520251213[[#Totals],[DF Pounds WHITE]]+Table520251213[[#Totals],[DF Pounds DARK]]</f>
        <v>0</v>
      </c>
    </row>
    <row r="21" spans="7:16" ht="23.5" x14ac:dyDescent="0.35">
      <c r="G21" s="97">
        <f>Table40[Dark Pounds Needed to Balance Order]/39.27</f>
        <v>0</v>
      </c>
      <c r="H21" s="96">
        <f>G21*123</f>
        <v>0</v>
      </c>
      <c r="I21" s="96">
        <f>IF(Table206[[Dark Servings ]]&lt;0,Table206[[Dark Servings ]],Table206[Dark Cases Rounded]*123)</f>
        <v>0</v>
      </c>
      <c r="J21" s="96">
        <f>ROUNDDOWN(Table206[Garlic Basil Meatball Cases],0)</f>
        <v>0</v>
      </c>
    </row>
    <row r="22" spans="7:16" ht="15" thickBot="1" x14ac:dyDescent="0.4"/>
    <row r="23" spans="7:16" ht="24" thickBot="1" x14ac:dyDescent="0.4">
      <c r="O23" s="255" t="s">
        <v>149</v>
      </c>
      <c r="P23" s="256"/>
    </row>
    <row r="24" spans="7:16" ht="55.5" x14ac:dyDescent="0.35">
      <c r="G24" s="95" t="s">
        <v>28</v>
      </c>
      <c r="H24" s="95" t="s">
        <v>13</v>
      </c>
      <c r="I24" s="95" t="s">
        <v>14</v>
      </c>
      <c r="J24" s="95" t="s">
        <v>15</v>
      </c>
      <c r="O24" s="250" t="s">
        <v>147</v>
      </c>
      <c r="P24" s="250" t="s">
        <v>148</v>
      </c>
    </row>
    <row r="25" spans="7:16" ht="36.5" thickBot="1" x14ac:dyDescent="0.85">
      <c r="G25" s="97">
        <f>Table40[Dark Pounds Needed to Balance Order]/38.59</f>
        <v>0</v>
      </c>
      <c r="H25" s="96">
        <f>G25*123</f>
        <v>0</v>
      </c>
      <c r="I25" s="96">
        <f>IF(Table2067[[Dark Servings ]]&lt;0,Table2067[[Dark Servings ]],Table2067[Dark Cases Rounded]*123)</f>
        <v>0</v>
      </c>
      <c r="J25" s="96">
        <f>ROUNDDOWN(Table2067[Mango Jalapeno Meatball Cases],0)</f>
        <v>0</v>
      </c>
      <c r="O25" s="251" t="str">
        <f>IF(M20=0,"",SUM(Table419[[#Totals],[DF Pounds WHITE]],Table520[[#Totals],[DF Pounds WHITE]],Table520251213[[#Totals],[DF Pounds WHITE]])/'Dashboard Tables (SERVINGS)'!M20)</f>
        <v/>
      </c>
      <c r="P25" s="251" t="str">
        <f>IF(M20=0,"",SUM(Table52022[[#Totals],[DF Pounds DARK]],Table520[[#Totals],[DF Pounds DARK]],Table520251213[[#Totals],[DF Pounds DARK]])/'Dashboard Tables (SERVINGS)'!M20)</f>
        <v/>
      </c>
    </row>
    <row r="27" spans="7:16" ht="55.5" x14ac:dyDescent="0.35">
      <c r="G27" s="95" t="s">
        <v>128</v>
      </c>
      <c r="H27" s="95" t="s">
        <v>13</v>
      </c>
      <c r="I27" s="95" t="s">
        <v>14</v>
      </c>
      <c r="J27" s="95" t="s">
        <v>15</v>
      </c>
    </row>
    <row r="28" spans="7:16" ht="23.5" x14ac:dyDescent="0.35">
      <c r="G28" s="97">
        <f>Table40[Dark Pounds Needed to Balance Order]/47.63</f>
        <v>0</v>
      </c>
      <c r="H28" s="96">
        <f>G28*123</f>
        <v>0</v>
      </c>
      <c r="I28" s="96">
        <f>IF(Table206711[[Dark Servings ]]&lt;0,Table206711[[Dark Servings ]],Table206711[Dark Cases Rounded]*123)</f>
        <v>0</v>
      </c>
      <c r="J28" s="96">
        <f>ROUNDDOWN(Table206711[NAE Chicken Crumble Cases],0)</f>
        <v>0</v>
      </c>
    </row>
    <row r="30" spans="7:16" ht="55.5" x14ac:dyDescent="0.35">
      <c r="G30" s="95" t="s">
        <v>132</v>
      </c>
      <c r="H30" s="95" t="s">
        <v>13</v>
      </c>
      <c r="I30" s="95" t="s">
        <v>14</v>
      </c>
      <c r="J30" s="95" t="s">
        <v>15</v>
      </c>
    </row>
    <row r="31" spans="7:16" ht="23.5" x14ac:dyDescent="0.35">
      <c r="G31" s="97">
        <f>Table40[Dark Pounds Needed to Balance Order]/31.8</f>
        <v>0</v>
      </c>
      <c r="H31" s="96">
        <f>G31*78</f>
        <v>0</v>
      </c>
      <c r="I31" s="96">
        <f>IF(Table2018[[Dark Servings ]]&lt;0,Table2018[[Dark Servings ]],Table2018[Dark Cases Rounded]*78)</f>
        <v>0</v>
      </c>
      <c r="J31" s="96">
        <f>ROUNDDOWN(Table2018[NAE Popper Dark Cases],0)</f>
        <v>0</v>
      </c>
    </row>
  </sheetData>
  <sheetProtection algorithmName="SHA-512" hashValue="xyJsn7hOJc0umHikHqNdMY6jXToCP/RI8jeFralQIEyu8Ec21/v1/oexko/3/5u/cfmaf97SyLcMl6CtYI7x+w==" saltValue="QtlOfsh1ahws4OjCqavZkA==" spinCount="100000" sheet="1" objects="1" scenarios="1"/>
  <mergeCells count="1">
    <mergeCell ref="O23:P23"/>
  </mergeCells>
  <pageMargins left="0.7" right="0.7" top="0.75" bottom="0.75" header="0.3" footer="0.3"/>
  <pageSetup orientation="portrait" horizontalDpi="4294967295" verticalDpi="4294967295" r:id="rId1"/>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2025-01-31T21:40:26+00:00</Remediation_x0020_Date>
  </documentManagement>
</p:properties>
</file>

<file path=customXml/itemProps1.xml><?xml version="1.0" encoding="utf-8"?>
<ds:datastoreItem xmlns:ds="http://schemas.openxmlformats.org/officeDocument/2006/customXml" ds:itemID="{6F65E829-B388-416D-9C76-364CE38E6308}"/>
</file>

<file path=customXml/itemProps2.xml><?xml version="1.0" encoding="utf-8"?>
<ds:datastoreItem xmlns:ds="http://schemas.openxmlformats.org/officeDocument/2006/customXml" ds:itemID="{F04FE1CC-45A9-4921-A21E-DE197346AB34}"/>
</file>

<file path=customXml/itemProps3.xml><?xml version="1.0" encoding="utf-8"?>
<ds:datastoreItem xmlns:ds="http://schemas.openxmlformats.org/officeDocument/2006/customXml" ds:itemID="{2AD5A294-EE80-4FF4-9AD7-FA2AAA35FC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Servings to DF Pounds</vt:lpstr>
      <vt:lpstr>Cases to DF Pounds</vt:lpstr>
      <vt:lpstr>Monthly Planner</vt:lpstr>
      <vt:lpstr>Revision History</vt:lpstr>
      <vt:lpstr>Dashboard Tables (DF POUNDS)</vt:lpstr>
      <vt:lpstr>Dashboard Tables (SERVINGS)</vt:lpstr>
      <vt:lpstr>'Cases to DF Pounds'!Print_Area</vt:lpstr>
      <vt:lpstr>'Monthly Planner'!Print_Area</vt:lpstr>
      <vt:lpstr>'Servings to DF Pounds'!Print_Area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Sebastian Rodriguez</dc:creator>
  <cp:lastModifiedBy>CAMERON Beatrice * ODE</cp:lastModifiedBy>
  <cp:lastPrinted>2019-02-27T22:10:10Z</cp:lastPrinted>
  <dcterms:created xsi:type="dcterms:W3CDTF">2018-08-29T21:17:54Z</dcterms:created>
  <dcterms:modified xsi:type="dcterms:W3CDTF">2024-12-27T16:14:43Z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2024-12-27T16:14:17Z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05839c69-a564-4b47-8e9e-52262ac502a0</vt:lpwstr>
  </property>
  <property fmtid="{D5CDD505-2E9C-101B-9397-08002B2CF9AE}" pid="8" name="MSIP_Label_7730ea53-6f5e-4160-81a5-992a9105450a_ContentBits">
    <vt:lpwstr>0</vt:lpwstr>
  </property>
  <property fmtid="{D5CDD505-2E9C-101B-9397-08002B2CF9AE}" pid="9" name="ContentTypeId">
    <vt:lpwstr>0x01010046895D7B4FD22A4A9C390F7B0E997D3F</vt:lpwstr>
  </property>
</Properties>
</file>