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metadata.xml" ContentType="application/vnd.openxmlformats-officedocument.spreadsheetml.sheetMetadata+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d.docs.live.net/f1982c1f06a908ff/Documents/^NParkives/"/>
    </mc:Choice>
  </mc:AlternateContent>
  <xr:revisionPtr revIDLastSave="132" documentId="13_ncr:1_{F413BD87-E3FC-4A7E-8170-92029B14D8CB}" xr6:coauthVersionLast="47" xr6:coauthVersionMax="47" xr10:uidLastSave="{0B03D3F0-D134-4CEF-9B41-8EBCC45C5C2C}"/>
  <bookViews>
    <workbookView xWindow="-120" yWindow="-120" windowWidth="29040" windowHeight="15720" xr2:uid="{89860DA1-916D-4F7F-93CC-F65403BB943B}"/>
  </bookViews>
  <sheets>
    <sheet name="Instructions" sheetId="5" r:id="rId1"/>
    <sheet name="Occupancy" sheetId="3" r:id="rId2"/>
    <sheet name="Turnover" sheetId="4" r:id="rId3"/>
    <sheet name="TurnoverGIS" sheetId="6" r:id="rId4"/>
    <sheet name="Meter Worksheet" sheetId="1" r:id="rId5"/>
    <sheet name="contexts" sheetId="2" r:id="rId6"/>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B14" i="1"/>
  <c r="B15" i="1"/>
  <c r="B17" i="1"/>
  <c r="G6" i="1"/>
  <c r="J6" i="1"/>
  <c r="B11" i="1"/>
  <c r="G7" i="1"/>
  <c r="I7" i="1"/>
  <c r="J7" i="1"/>
  <c r="B10" i="1"/>
  <c r="G3" i="1"/>
  <c r="I3" i="1"/>
  <c r="G4" i="1"/>
  <c r="I4" i="1"/>
  <c r="G5" i="1"/>
  <c r="J5" i="1"/>
  <c r="G8" i="1"/>
  <c r="I8" i="1"/>
  <c r="G9" i="1"/>
  <c r="I9" i="1"/>
  <c r="G10" i="1"/>
  <c r="I10" i="1"/>
  <c r="G11" i="1"/>
  <c r="I11" i="1"/>
  <c r="G2" i="1"/>
  <c r="I2" i="1"/>
  <c r="B9" i="2"/>
  <c r="C9" i="2"/>
  <c r="J3" i="1"/>
  <c r="J4" i="1"/>
  <c r="B8" i="2"/>
  <c r="C8" i="2"/>
  <c r="B7" i="2"/>
  <c r="C7" i="2"/>
  <c r="B6" i="2"/>
  <c r="C6" i="2"/>
  <c r="B5" i="2"/>
  <c r="C5" i="2"/>
  <c r="B3" i="2"/>
  <c r="C3" i="2"/>
  <c r="B4" i="2"/>
  <c r="C4" i="2"/>
  <c r="C2" i="2"/>
  <c r="B2" i="2"/>
  <c r="U7" i="4"/>
  <c r="U8" i="4"/>
  <c r="U9" i="4"/>
  <c r="U10" i="4"/>
  <c r="U2" i="4"/>
  <c r="U3" i="4"/>
  <c r="U4" i="4"/>
  <c r="U5" i="4"/>
  <c r="U6" i="4"/>
  <c r="U11" i="4"/>
  <c r="U12" i="4"/>
  <c r="U13" i="4"/>
  <c r="U14" i="4"/>
  <c r="U15" i="4"/>
  <c r="U16" i="4"/>
  <c r="U17" i="4"/>
  <c r="U18" i="4"/>
  <c r="U19" i="4"/>
  <c r="U20" i="4"/>
  <c r="U21" i="4"/>
  <c r="U22" i="4"/>
  <c r="U23" i="4"/>
  <c r="U24" i="4"/>
  <c r="U25" i="4"/>
  <c r="U26" i="4"/>
  <c r="U27" i="4"/>
  <c r="U32" i="4"/>
  <c r="U34" i="4"/>
  <c r="Y3" i="6"/>
  <c r="V7" i="4"/>
  <c r="V8" i="4"/>
  <c r="V9" i="4"/>
  <c r="V10" i="4"/>
  <c r="V2" i="4"/>
  <c r="V3" i="4"/>
  <c r="V4" i="4"/>
  <c r="V5" i="4"/>
  <c r="V6" i="4"/>
  <c r="V11" i="4"/>
  <c r="V12" i="4"/>
  <c r="V13" i="4"/>
  <c r="V14" i="4"/>
  <c r="V15" i="4"/>
  <c r="V16" i="4"/>
  <c r="V17" i="4"/>
  <c r="V18" i="4"/>
  <c r="V19" i="4"/>
  <c r="V20" i="4"/>
  <c r="V21" i="4"/>
  <c r="V22" i="4"/>
  <c r="V23" i="4"/>
  <c r="V24" i="4"/>
  <c r="V25" i="4"/>
  <c r="V26" i="4"/>
  <c r="V27" i="4"/>
  <c r="V32" i="4"/>
  <c r="V34" i="4"/>
  <c r="Z3" i="6"/>
  <c r="W7" i="4"/>
  <c r="W8" i="4"/>
  <c r="W9" i="4"/>
  <c r="W10" i="4"/>
  <c r="W2" i="4"/>
  <c r="W3" i="4"/>
  <c r="W4" i="4"/>
  <c r="W5" i="4"/>
  <c r="W6" i="4"/>
  <c r="W11" i="4"/>
  <c r="W12" i="4"/>
  <c r="W13" i="4"/>
  <c r="W14" i="4"/>
  <c r="W15" i="4"/>
  <c r="W16" i="4"/>
  <c r="W17" i="4"/>
  <c r="W18" i="4"/>
  <c r="W19" i="4"/>
  <c r="W20" i="4"/>
  <c r="W21" i="4"/>
  <c r="W22" i="4"/>
  <c r="W23" i="4"/>
  <c r="W24" i="4"/>
  <c r="W25" i="4"/>
  <c r="W26" i="4"/>
  <c r="W27" i="4"/>
  <c r="W32" i="4"/>
  <c r="W34" i="4"/>
  <c r="AA3" i="6"/>
  <c r="X7" i="4"/>
  <c r="X8" i="4"/>
  <c r="X9" i="4"/>
  <c r="X10" i="4"/>
  <c r="X2" i="4"/>
  <c r="X3" i="4"/>
  <c r="X4" i="4"/>
  <c r="X5" i="4"/>
  <c r="X6" i="4"/>
  <c r="X11" i="4"/>
  <c r="X12" i="4"/>
  <c r="X13" i="4"/>
  <c r="X14" i="4"/>
  <c r="X15" i="4"/>
  <c r="X16" i="4"/>
  <c r="X17" i="4"/>
  <c r="X18" i="4"/>
  <c r="X19" i="4"/>
  <c r="X20" i="4"/>
  <c r="X21" i="4"/>
  <c r="X22" i="4"/>
  <c r="X23" i="4"/>
  <c r="X24" i="4"/>
  <c r="X25" i="4"/>
  <c r="X26" i="4"/>
  <c r="X27" i="4"/>
  <c r="X32" i="4"/>
  <c r="X34" i="4"/>
  <c r="AB3" i="6"/>
  <c r="Y7" i="4"/>
  <c r="Y8" i="4"/>
  <c r="Y9" i="4"/>
  <c r="Y10" i="4"/>
  <c r="Y2" i="4"/>
  <c r="Y3" i="4"/>
  <c r="Y4" i="4"/>
  <c r="Y5" i="4"/>
  <c r="Y6" i="4"/>
  <c r="Y11" i="4"/>
  <c r="Y12" i="4"/>
  <c r="Y13" i="4"/>
  <c r="Y14" i="4"/>
  <c r="Y15" i="4"/>
  <c r="Y16" i="4"/>
  <c r="Y17" i="4"/>
  <c r="Y18" i="4"/>
  <c r="Y19" i="4"/>
  <c r="Y20" i="4"/>
  <c r="Y21" i="4"/>
  <c r="Y22" i="4"/>
  <c r="Y23" i="4"/>
  <c r="Y24" i="4"/>
  <c r="Y25" i="4"/>
  <c r="Y26" i="4"/>
  <c r="Y27" i="4"/>
  <c r="Y32" i="4"/>
  <c r="Y34" i="4"/>
  <c r="AC3" i="6"/>
  <c r="Z7" i="4"/>
  <c r="Z8" i="4"/>
  <c r="Z9" i="4"/>
  <c r="Z10" i="4"/>
  <c r="Z2" i="4"/>
  <c r="Z3" i="4"/>
  <c r="Z4" i="4"/>
  <c r="Z5" i="4"/>
  <c r="Z6" i="4"/>
  <c r="Z11" i="4"/>
  <c r="Z12" i="4"/>
  <c r="Z13" i="4"/>
  <c r="Z14" i="4"/>
  <c r="Z15" i="4"/>
  <c r="Z16" i="4"/>
  <c r="Z17" i="4"/>
  <c r="Z18" i="4"/>
  <c r="Z19" i="4"/>
  <c r="Z20" i="4"/>
  <c r="Z21" i="4"/>
  <c r="Z22" i="4"/>
  <c r="Z23" i="4"/>
  <c r="Z24" i="4"/>
  <c r="Z25" i="4"/>
  <c r="Z26" i="4"/>
  <c r="Z32" i="4"/>
  <c r="Z34" i="4"/>
  <c r="AD3" i="6"/>
  <c r="AA7" i="4"/>
  <c r="AA8" i="4"/>
  <c r="AA9" i="4"/>
  <c r="AA10" i="4"/>
  <c r="AA2" i="4"/>
  <c r="AA3" i="4"/>
  <c r="AA4" i="4"/>
  <c r="AA5" i="4"/>
  <c r="AA6" i="4"/>
  <c r="AA11" i="4"/>
  <c r="AA12" i="4"/>
  <c r="AA13" i="4"/>
  <c r="AA14" i="4"/>
  <c r="AA15" i="4"/>
  <c r="AA16" i="4"/>
  <c r="AA17" i="4"/>
  <c r="AA18" i="4"/>
  <c r="AA19" i="4"/>
  <c r="AA20" i="4"/>
  <c r="AA21" i="4"/>
  <c r="AA22" i="4"/>
  <c r="AA23" i="4"/>
  <c r="AA24" i="4"/>
  <c r="AA25" i="4"/>
  <c r="AA26" i="4"/>
  <c r="AA32" i="4"/>
  <c r="AA34" i="4"/>
  <c r="AE3" i="6"/>
  <c r="AB7" i="4"/>
  <c r="AB8" i="4"/>
  <c r="AB9" i="4"/>
  <c r="AB10" i="4"/>
  <c r="AB2" i="4"/>
  <c r="AB3" i="4"/>
  <c r="AB4" i="4"/>
  <c r="AB5" i="4"/>
  <c r="AB6" i="4"/>
  <c r="AB11" i="4"/>
  <c r="AB12" i="4"/>
  <c r="AB13" i="4"/>
  <c r="AB14" i="4"/>
  <c r="AB15" i="4"/>
  <c r="AB16" i="4"/>
  <c r="AB17" i="4"/>
  <c r="AB18" i="4"/>
  <c r="AB19" i="4"/>
  <c r="AB20" i="4"/>
  <c r="AB21" i="4"/>
  <c r="AB22" i="4"/>
  <c r="AB23" i="4"/>
  <c r="AB24" i="4"/>
  <c r="AB25" i="4"/>
  <c r="AB26" i="4"/>
  <c r="AB32" i="4"/>
  <c r="AB34" i="4"/>
  <c r="AF3" i="6"/>
  <c r="AC7" i="4"/>
  <c r="AC8" i="4"/>
  <c r="AC9" i="4"/>
  <c r="AC10" i="4"/>
  <c r="AC2" i="4"/>
  <c r="AC3" i="4"/>
  <c r="AC4" i="4"/>
  <c r="AC5" i="4"/>
  <c r="AC6" i="4"/>
  <c r="AC11" i="4"/>
  <c r="AC12" i="4"/>
  <c r="AC13" i="4"/>
  <c r="AC14" i="4"/>
  <c r="AC15" i="4"/>
  <c r="AC16" i="4"/>
  <c r="AC17" i="4"/>
  <c r="AC18" i="4"/>
  <c r="AC19" i="4"/>
  <c r="AC20" i="4"/>
  <c r="AC21" i="4"/>
  <c r="AC22" i="4"/>
  <c r="AC23" i="4"/>
  <c r="AC24" i="4"/>
  <c r="AC25" i="4"/>
  <c r="AC26" i="4"/>
  <c r="AC32" i="4"/>
  <c r="AC34" i="4"/>
  <c r="AG3" i="6"/>
  <c r="AD7" i="4"/>
  <c r="AD8" i="4"/>
  <c r="AD9" i="4"/>
  <c r="AD10" i="4"/>
  <c r="AD2" i="4"/>
  <c r="AD3" i="4"/>
  <c r="AD4" i="4"/>
  <c r="AD5" i="4"/>
  <c r="AD6" i="4"/>
  <c r="AD11" i="4"/>
  <c r="AD12" i="4"/>
  <c r="AD13" i="4"/>
  <c r="AD14" i="4"/>
  <c r="AD15" i="4"/>
  <c r="AD16" i="4"/>
  <c r="AD17" i="4"/>
  <c r="AD18" i="4"/>
  <c r="AD19" i="4"/>
  <c r="AD20" i="4"/>
  <c r="AD21" i="4"/>
  <c r="AD22" i="4"/>
  <c r="AD23" i="4"/>
  <c r="AD24" i="4"/>
  <c r="AD25" i="4"/>
  <c r="AD26" i="4"/>
  <c r="AD32" i="4"/>
  <c r="AD34" i="4"/>
  <c r="AH3" i="6"/>
  <c r="Y4" i="6"/>
  <c r="Z4" i="6"/>
  <c r="AA4" i="6"/>
  <c r="AB4" i="6"/>
  <c r="AC4" i="6"/>
  <c r="AD4" i="6"/>
  <c r="AE4" i="6"/>
  <c r="AF4" i="6"/>
  <c r="AG4" i="6"/>
  <c r="AH4" i="6"/>
  <c r="Z2" i="6"/>
  <c r="AA2" i="6"/>
  <c r="AB2" i="6"/>
  <c r="AC2" i="6"/>
  <c r="AD2" i="6"/>
  <c r="AE2" i="6"/>
  <c r="AF2" i="6"/>
  <c r="AG2" i="6"/>
  <c r="AH2" i="6"/>
  <c r="Y2" i="6"/>
  <c r="X2" i="6"/>
  <c r="X3" i="6"/>
  <c r="X4" i="6"/>
  <c r="D3" i="6"/>
  <c r="B3" i="6"/>
  <c r="N3" i="6"/>
  <c r="E3" i="6"/>
  <c r="O3" i="6"/>
  <c r="F3" i="6"/>
  <c r="P3" i="6"/>
  <c r="G3" i="6"/>
  <c r="Q3" i="6"/>
  <c r="H3" i="6"/>
  <c r="R3" i="6"/>
  <c r="I3" i="6"/>
  <c r="S3" i="6"/>
  <c r="J3" i="6"/>
  <c r="T3" i="6"/>
  <c r="K3" i="6"/>
  <c r="U3" i="6"/>
  <c r="L3" i="6"/>
  <c r="V3" i="6"/>
  <c r="M3" i="6"/>
  <c r="W3" i="6"/>
  <c r="D4" i="6"/>
  <c r="B4" i="6"/>
  <c r="N4" i="6"/>
  <c r="E4" i="6"/>
  <c r="O4" i="6"/>
  <c r="F4" i="6"/>
  <c r="P4" i="6"/>
  <c r="G4" i="6"/>
  <c r="Q4" i="6"/>
  <c r="H4" i="6"/>
  <c r="R4" i="6"/>
  <c r="I4" i="6"/>
  <c r="S4" i="6"/>
  <c r="J4" i="6"/>
  <c r="T4" i="6"/>
  <c r="K4" i="6"/>
  <c r="U4" i="6"/>
  <c r="L4" i="6"/>
  <c r="V4" i="6"/>
  <c r="M4" i="6"/>
  <c r="W4" i="6"/>
  <c r="E2" i="6"/>
  <c r="B2" i="6"/>
  <c r="O2" i="6"/>
  <c r="F2" i="6"/>
  <c r="P2" i="6"/>
  <c r="G2" i="6"/>
  <c r="Q2" i="6"/>
  <c r="H2" i="6"/>
  <c r="R2" i="6"/>
  <c r="I2" i="6"/>
  <c r="S2" i="6"/>
  <c r="J2" i="6"/>
  <c r="T2" i="6"/>
  <c r="K2" i="6"/>
  <c r="U2" i="6"/>
  <c r="L2" i="6"/>
  <c r="V2" i="6"/>
  <c r="M2" i="6"/>
  <c r="W2" i="6"/>
  <c r="D2" i="6"/>
  <c r="N2" i="6"/>
  <c r="C3" i="6"/>
  <c r="C4" i="6"/>
  <c r="C5" i="6"/>
  <c r="C6" i="6"/>
  <c r="C7" i="6"/>
  <c r="C8" i="6"/>
  <c r="C9" i="6"/>
  <c r="C10" i="6"/>
  <c r="C11" i="6"/>
  <c r="C12" i="6"/>
  <c r="C13" i="6"/>
  <c r="C14" i="6"/>
  <c r="C15" i="6"/>
  <c r="C16" i="6"/>
  <c r="C17" i="6"/>
  <c r="C18" i="6"/>
  <c r="C19" i="6"/>
  <c r="C20" i="6"/>
  <c r="C21" i="6"/>
  <c r="C22" i="6"/>
  <c r="C23" i="6"/>
  <c r="C24" i="6"/>
  <c r="C25" i="6"/>
  <c r="C26" i="6"/>
  <c r="C27" i="6"/>
  <c r="C28" i="6"/>
  <c r="C29" i="6"/>
  <c r="C30" i="6"/>
  <c r="C31" i="6"/>
  <c r="C2" i="6"/>
  <c r="B5" i="6"/>
  <c r="B6" i="6"/>
  <c r="B7" i="6"/>
  <c r="B8" i="6"/>
  <c r="B9" i="6"/>
  <c r="B10" i="6"/>
  <c r="B11" i="6"/>
  <c r="B12" i="6"/>
  <c r="B13" i="6"/>
  <c r="B14" i="6"/>
  <c r="B15" i="6"/>
  <c r="B16" i="6"/>
  <c r="B17" i="6"/>
  <c r="B18" i="6"/>
  <c r="B19" i="6"/>
  <c r="B20" i="6"/>
  <c r="B21" i="6"/>
  <c r="B22" i="6"/>
  <c r="B23" i="6"/>
  <c r="B24" i="6"/>
  <c r="B25" i="6"/>
  <c r="B26" i="6"/>
  <c r="B27" i="6"/>
  <c r="B28" i="6"/>
  <c r="B29" i="6"/>
  <c r="B30" i="6"/>
  <c r="B31" i="6"/>
  <c r="S14" i="4" a="1"/>
  <c r="S14" i="4"/>
  <c r="AG14" i="4" a="1"/>
  <c r="AG14" i="4"/>
  <c r="AF14" i="4"/>
  <c r="S15" i="4" a="1"/>
  <c r="S15" i="4"/>
  <c r="AG15" i="4" a="1"/>
  <c r="AG15" i="4"/>
  <c r="AF15" i="4"/>
  <c r="S22" i="4" a="1"/>
  <c r="S22" i="4"/>
  <c r="S32" i="4"/>
  <c r="AG22" i="4" a="1"/>
  <c r="AG22" i="4"/>
  <c r="AF22" i="4"/>
  <c r="AF2" i="4"/>
  <c r="AF3" i="4"/>
  <c r="AF4" i="4"/>
  <c r="AF5" i="4"/>
  <c r="AF6" i="4"/>
  <c r="AF7" i="4"/>
  <c r="AF8" i="4"/>
  <c r="AF9" i="4"/>
  <c r="AF10" i="4"/>
  <c r="AF11" i="4"/>
  <c r="AF12" i="4"/>
  <c r="AF13" i="4"/>
  <c r="AF16" i="4"/>
  <c r="AF17" i="4"/>
  <c r="AF18" i="4"/>
  <c r="AF19" i="4"/>
  <c r="AF20" i="4"/>
  <c r="AF21" i="4"/>
  <c r="AF23" i="4"/>
  <c r="AF24" i="4"/>
  <c r="AF25" i="4"/>
  <c r="AF26" i="4"/>
  <c r="AF27" i="4"/>
  <c r="D38" i="4"/>
  <c r="AG2" i="4" a="1"/>
  <c r="AG2" i="4"/>
  <c r="AG3" i="4" a="1"/>
  <c r="AG3" i="4"/>
  <c r="AG4" i="4" a="1"/>
  <c r="AG4" i="4"/>
  <c r="AG5" i="4" a="1"/>
  <c r="AG5" i="4"/>
  <c r="AG6" i="4" a="1"/>
  <c r="AG6" i="4"/>
  <c r="AG7" i="4" a="1"/>
  <c r="AG7" i="4"/>
  <c r="AG8" i="4" a="1"/>
  <c r="AG8" i="4"/>
  <c r="AG9" i="4" a="1"/>
  <c r="AG9" i="4"/>
  <c r="AG10" i="4" a="1"/>
  <c r="AG10" i="4"/>
  <c r="AG11" i="4" a="1"/>
  <c r="AG11" i="4"/>
  <c r="AG12" i="4" a="1"/>
  <c r="AG12" i="4"/>
  <c r="AG13" i="4" a="1"/>
  <c r="AG13" i="4"/>
  <c r="AG16" i="4" a="1"/>
  <c r="AG16" i="4"/>
  <c r="AG17" i="4" a="1"/>
  <c r="AG17" i="4"/>
  <c r="AG18" i="4" a="1"/>
  <c r="AG18" i="4"/>
  <c r="AG19" i="4" a="1"/>
  <c r="AG19" i="4"/>
  <c r="AG20" i="4" a="1"/>
  <c r="AG20" i="4"/>
  <c r="AG21" i="4" a="1"/>
  <c r="AG21" i="4"/>
  <c r="AG23" i="4" a="1"/>
  <c r="AG23" i="4"/>
  <c r="AG24" i="4" a="1"/>
  <c r="AG24" i="4"/>
  <c r="AG25" i="4" a="1"/>
  <c r="AG25" i="4"/>
  <c r="AG26" i="4" a="1"/>
  <c r="AG26" i="4"/>
  <c r="AG27" i="4" a="1"/>
  <c r="AG27" i="4"/>
  <c r="AG28" i="4" a="1"/>
  <c r="AG28" i="4"/>
  <c r="U28" i="4"/>
  <c r="AG29" i="4" a="1"/>
  <c r="AG29" i="4"/>
  <c r="U29" i="4"/>
  <c r="AG30" i="4" a="1"/>
  <c r="AG30" i="4"/>
  <c r="U30" i="4"/>
  <c r="V28" i="4"/>
  <c r="V29" i="4"/>
  <c r="V30" i="4"/>
  <c r="W28" i="4"/>
  <c r="W29" i="4"/>
  <c r="W30" i="4"/>
  <c r="X28" i="4"/>
  <c r="X29" i="4"/>
  <c r="X30" i="4"/>
  <c r="Y28" i="4"/>
  <c r="Y29" i="4"/>
  <c r="Y30" i="4"/>
  <c r="Z27" i="4"/>
  <c r="Z28" i="4"/>
  <c r="Z29" i="4"/>
  <c r="Z30" i="4"/>
  <c r="AA27" i="4"/>
  <c r="AA28" i="4"/>
  <c r="AA29" i="4"/>
  <c r="AA30" i="4"/>
  <c r="AB27" i="4"/>
  <c r="AB28" i="4"/>
  <c r="AB29" i="4"/>
  <c r="AB30" i="4"/>
  <c r="AC27" i="4"/>
  <c r="AC28" i="4"/>
  <c r="AC29" i="4"/>
  <c r="AC30" i="4"/>
  <c r="AD27" i="4"/>
  <c r="AD28" i="4"/>
  <c r="AD29" i="4"/>
  <c r="AD30" i="4"/>
  <c r="S2" i="4" a="1"/>
  <c r="S2" i="4"/>
  <c r="S3" i="4" a="1"/>
  <c r="S3" i="4"/>
  <c r="S4" i="4" a="1"/>
  <c r="S5" i="4" a="1"/>
  <c r="S6" i="4" a="1"/>
  <c r="S7" i="4" a="1"/>
  <c r="S8" i="4" a="1"/>
  <c r="S9" i="4" a="1"/>
  <c r="S10" i="4" a="1"/>
  <c r="S11" i="4" a="1"/>
  <c r="S12" i="4" a="1"/>
  <c r="S13" i="4" a="1"/>
  <c r="S16" i="4" a="1"/>
  <c r="S17" i="4" a="1"/>
  <c r="S18" i="4" a="1"/>
  <c r="S19" i="4" a="1"/>
  <c r="S20" i="4" a="1"/>
  <c r="S21" i="4" a="1"/>
  <c r="S23" i="4" a="1"/>
  <c r="S24" i="4" a="1"/>
  <c r="S25" i="4" a="1"/>
  <c r="S26" i="4" a="1"/>
  <c r="S27" i="4" a="1"/>
  <c r="S28" i="4" a="1"/>
  <c r="S29" i="4" a="1"/>
  <c r="S30" i="4" a="1"/>
  <c r="S4" i="4"/>
  <c r="S5" i="4"/>
  <c r="S6" i="4"/>
  <c r="S7" i="4"/>
  <c r="S8" i="4"/>
  <c r="S9" i="4"/>
  <c r="S10" i="4"/>
  <c r="S11" i="4"/>
  <c r="S12" i="4"/>
  <c r="S13" i="4"/>
  <c r="S16" i="4"/>
  <c r="S17" i="4"/>
  <c r="S18" i="4"/>
  <c r="S19" i="4"/>
  <c r="S20" i="4"/>
  <c r="S21" i="4"/>
  <c r="S23" i="4"/>
  <c r="S24" i="4"/>
  <c r="S25" i="4"/>
  <c r="S26" i="4"/>
  <c r="S27" i="4"/>
  <c r="S28" i="4"/>
  <c r="S29" i="4"/>
  <c r="S30" i="4"/>
  <c r="D37" i="4"/>
  <c r="H32" i="4" a="1"/>
  <c r="H32" i="4"/>
  <c r="H31" i="4"/>
  <c r="H34" i="4"/>
  <c r="I32" i="4" a="1"/>
  <c r="I32" i="4"/>
  <c r="I31" i="4"/>
  <c r="I34" i="4"/>
  <c r="J32" i="4" a="1"/>
  <c r="J32" i="4"/>
  <c r="J31" i="4"/>
  <c r="J34" i="4"/>
  <c r="K32" i="4" a="1"/>
  <c r="K32" i="4"/>
  <c r="K31" i="4"/>
  <c r="K34" i="4"/>
  <c r="L32" i="4" a="1"/>
  <c r="L32" i="4"/>
  <c r="L31" i="4"/>
  <c r="L34" i="4"/>
  <c r="M32" i="4" a="1"/>
  <c r="M32" i="4"/>
  <c r="M31" i="4"/>
  <c r="M34" i="4"/>
  <c r="N32" i="4" a="1"/>
  <c r="N32" i="4"/>
  <c r="N31" i="4"/>
  <c r="N34" i="4"/>
  <c r="O32" i="4" a="1"/>
  <c r="O32" i="4"/>
  <c r="O31" i="4"/>
  <c r="O34" i="4"/>
  <c r="P32" i="4" a="1"/>
  <c r="P32" i="4"/>
  <c r="P31" i="4"/>
  <c r="P34" i="4"/>
  <c r="Q32" i="4" a="1"/>
  <c r="Q32" i="4"/>
  <c r="Q31" i="4"/>
  <c r="Q34" i="4"/>
  <c r="D36" i="4"/>
  <c r="D35" i="4"/>
  <c r="I30" i="3"/>
  <c r="J30" i="3"/>
  <c r="K30" i="3"/>
  <c r="L30" i="3"/>
  <c r="M30" i="3"/>
  <c r="N30" i="3"/>
  <c r="O30" i="3"/>
  <c r="P30" i="3"/>
  <c r="Q30" i="3"/>
  <c r="R30" i="3"/>
  <c r="G2" i="3"/>
  <c r="G3" i="3"/>
  <c r="G4" i="3"/>
  <c r="G5" i="3"/>
  <c r="G6" i="3"/>
  <c r="G7" i="3"/>
  <c r="G8" i="3"/>
  <c r="G9" i="3"/>
  <c r="G10" i="3"/>
  <c r="G11" i="3"/>
  <c r="G12" i="3"/>
  <c r="G13" i="3"/>
  <c r="G14" i="3"/>
  <c r="G30" i="3"/>
  <c r="C32" i="3"/>
  <c r="U30" i="3"/>
  <c r="V30" i="3"/>
  <c r="W30" i="3"/>
  <c r="X30" i="3"/>
  <c r="Y30" i="3"/>
  <c r="Z30" i="3"/>
  <c r="AA30" i="3"/>
  <c r="AB30" i="3"/>
  <c r="AC30" i="3"/>
  <c r="T30" i="3"/>
  <c r="C31" i="3"/>
  <c r="T3" i="3"/>
  <c r="U3" i="3"/>
  <c r="V3" i="3"/>
  <c r="W3" i="3"/>
  <c r="X3" i="3"/>
  <c r="Y3" i="3"/>
  <c r="Z3" i="3"/>
  <c r="AA3" i="3"/>
  <c r="AB3" i="3"/>
  <c r="AC3" i="3"/>
  <c r="T4" i="3"/>
  <c r="U4" i="3"/>
  <c r="V4" i="3"/>
  <c r="W4" i="3"/>
  <c r="X4" i="3"/>
  <c r="Y4" i="3"/>
  <c r="Z4" i="3"/>
  <c r="AA4" i="3"/>
  <c r="AB4" i="3"/>
  <c r="AC4" i="3"/>
  <c r="T5" i="3"/>
  <c r="U5" i="3"/>
  <c r="V5" i="3"/>
  <c r="W5" i="3"/>
  <c r="X5" i="3"/>
  <c r="Y5" i="3"/>
  <c r="Z5" i="3"/>
  <c r="AA5" i="3"/>
  <c r="AB5" i="3"/>
  <c r="AC5" i="3"/>
  <c r="T6" i="3"/>
  <c r="U6" i="3"/>
  <c r="V6" i="3"/>
  <c r="W6" i="3"/>
  <c r="X6" i="3"/>
  <c r="Y6" i="3"/>
  <c r="Z6" i="3"/>
  <c r="AA6" i="3"/>
  <c r="AB6" i="3"/>
  <c r="AC6" i="3"/>
  <c r="T7" i="3"/>
  <c r="U7" i="3"/>
  <c r="V7" i="3"/>
  <c r="W7" i="3"/>
  <c r="X7" i="3"/>
  <c r="Y7" i="3"/>
  <c r="Z7" i="3"/>
  <c r="AA7" i="3"/>
  <c r="AB7" i="3"/>
  <c r="AC7" i="3"/>
  <c r="T8" i="3"/>
  <c r="U8" i="3"/>
  <c r="V8" i="3"/>
  <c r="W8" i="3"/>
  <c r="X8" i="3"/>
  <c r="Y8" i="3"/>
  <c r="Z8" i="3"/>
  <c r="AA8" i="3"/>
  <c r="AB8" i="3"/>
  <c r="AC8" i="3"/>
  <c r="T9" i="3"/>
  <c r="U9" i="3"/>
  <c r="V9" i="3"/>
  <c r="W9" i="3"/>
  <c r="X9" i="3"/>
  <c r="Y9" i="3"/>
  <c r="Z9" i="3"/>
  <c r="AA9" i="3"/>
  <c r="AB9" i="3"/>
  <c r="AC9" i="3"/>
  <c r="T10" i="3"/>
  <c r="U10" i="3"/>
  <c r="V10" i="3"/>
  <c r="W10" i="3"/>
  <c r="X10" i="3"/>
  <c r="Y10" i="3"/>
  <c r="Z10" i="3"/>
  <c r="AA10" i="3"/>
  <c r="AB10" i="3"/>
  <c r="AC10" i="3"/>
  <c r="T11" i="3"/>
  <c r="U11" i="3"/>
  <c r="V11" i="3"/>
  <c r="W11" i="3"/>
  <c r="X11" i="3"/>
  <c r="Y11" i="3"/>
  <c r="Z11" i="3"/>
  <c r="AA11" i="3"/>
  <c r="AB11" i="3"/>
  <c r="AC11" i="3"/>
  <c r="T12" i="3"/>
  <c r="U12" i="3"/>
  <c r="V12" i="3"/>
  <c r="W12" i="3"/>
  <c r="X12" i="3"/>
  <c r="Y12" i="3"/>
  <c r="Z12" i="3"/>
  <c r="AA12" i="3"/>
  <c r="AB12" i="3"/>
  <c r="AC12" i="3"/>
  <c r="T13" i="3"/>
  <c r="U13" i="3"/>
  <c r="V13" i="3"/>
  <c r="W13" i="3"/>
  <c r="X13" i="3"/>
  <c r="Y13" i="3"/>
  <c r="Z13" i="3"/>
  <c r="AA13" i="3"/>
  <c r="AB13" i="3"/>
  <c r="AC13" i="3"/>
  <c r="T14" i="3"/>
  <c r="U14" i="3"/>
  <c r="V14" i="3"/>
  <c r="W14" i="3"/>
  <c r="X14" i="3"/>
  <c r="Y14" i="3"/>
  <c r="Z14" i="3"/>
  <c r="AA14" i="3"/>
  <c r="AB14" i="3"/>
  <c r="AC14" i="3"/>
  <c r="U2" i="3"/>
  <c r="V2" i="3"/>
  <c r="W2" i="3"/>
  <c r="X2" i="3"/>
  <c r="Y2" i="3"/>
  <c r="Z2" i="3"/>
  <c r="AA2" i="3"/>
  <c r="AB2" i="3"/>
  <c r="AC2" i="3"/>
  <c r="T2" i="3"/>
  <c r="D30" i="3"/>
  <c r="E30" i="3"/>
  <c r="F30" i="3"/>
  <c r="C30" i="3"/>
  <c r="Q33" i="4"/>
  <c r="P33" i="4"/>
  <c r="O33" i="4"/>
  <c r="N33" i="4"/>
  <c r="M33" i="4"/>
  <c r="L33" i="4"/>
  <c r="K33" i="4"/>
  <c r="J33" i="4"/>
  <c r="I33" i="4"/>
  <c r="H33" i="4"/>
  <c r="T2" i="4"/>
  <c r="T3" i="4"/>
  <c r="T4" i="4"/>
  <c r="T5" i="4"/>
  <c r="T6" i="4"/>
  <c r="T7" i="4"/>
  <c r="T8" i="4"/>
  <c r="T9" i="4"/>
  <c r="T10" i="4"/>
  <c r="T11" i="4"/>
  <c r="T12" i="4"/>
  <c r="T13" i="4"/>
  <c r="T14" i="4"/>
  <c r="T15" i="4"/>
  <c r="T16" i="4"/>
  <c r="T17" i="4"/>
  <c r="T18" i="4"/>
  <c r="T19" i="4"/>
  <c r="T20" i="4"/>
  <c r="T21" i="4"/>
  <c r="T22" i="4"/>
  <c r="T23" i="4"/>
  <c r="T24" i="4"/>
  <c r="T25" i="4"/>
  <c r="T26" i="4"/>
  <c r="T27" i="4"/>
  <c r="T28" i="4"/>
  <c r="T29" i="4"/>
  <c r="T30" i="4"/>
  <c r="T32" i="4"/>
  <c r="AF30" i="4"/>
  <c r="B19" i="4"/>
  <c r="B20" i="4"/>
  <c r="B21" i="4"/>
  <c r="B22" i="4"/>
  <c r="B23" i="4"/>
  <c r="B24" i="4"/>
  <c r="B25" i="4"/>
  <c r="B26" i="4"/>
  <c r="B27" i="4"/>
  <c r="B28" i="4"/>
  <c r="B29" i="4"/>
  <c r="B30" i="4"/>
  <c r="AF29" i="4"/>
  <c r="AF28" i="4"/>
  <c r="B7" i="4"/>
  <c r="B8" i="4"/>
  <c r="B9" i="4"/>
  <c r="B10" i="4"/>
  <c r="B11" i="4"/>
  <c r="B12" i="4"/>
  <c r="B13" i="4"/>
  <c r="B14" i="4"/>
  <c r="B15" i="4"/>
  <c r="B16" i="4"/>
  <c r="B17" i="4"/>
  <c r="B18" i="4"/>
  <c r="B3" i="4"/>
  <c r="B4" i="4"/>
  <c r="B5" i="4"/>
  <c r="B6" i="4"/>
  <c r="B27" i="1"/>
  <c r="B28" i="1"/>
  <c r="B21" i="1"/>
  <c r="B24" i="1"/>
  <c r="B22" i="1"/>
  <c r="B23" i="1"/>
  <c r="B26" i="1"/>
  <c r="B30" i="1"/>
  <c r="B31" i="1"/>
  <c r="J10" i="1"/>
  <c r="J11" i="1"/>
  <c r="B37" i="1"/>
  <c r="B38" i="1"/>
  <c r="J9" i="1"/>
  <c r="I6" i="1"/>
  <c r="J8" i="1"/>
  <c r="B39" i="1"/>
  <c r="I5" i="1"/>
  <c r="J2" i="1"/>
  <c r="B33" i="1"/>
  <c r="B34" i="1"/>
  <c r="B35" i="1"/>
  <c r="B40"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<sst xmlns="http://schemas.openxmlformats.org/spreadsheetml/2006/main" count="552" uniqueCount="288">
  <si>
    <t>Metered days/week</t>
  </si>
  <si>
    <t>Portland Pearl</t>
  </si>
  <si>
    <t>Newport Bayfront</t>
  </si>
  <si>
    <t>Northwest Portland</t>
  </si>
  <si>
    <t>Similar context</t>
  </si>
  <si>
    <t>Source peak occupancy</t>
  </si>
  <si>
    <t>Source avg occupancy</t>
  </si>
  <si>
    <t>Projected annual revenue (gross)</t>
  </si>
  <si>
    <t>Implementation/year 1 cost</t>
  </si>
  <si>
    <t>Year 2+ annual cost</t>
  </si>
  <si>
    <t>Per-stall implementation cost</t>
  </si>
  <si>
    <t>facilitynumber</t>
  </si>
  <si>
    <t>stall</t>
  </si>
  <si>
    <t>description</t>
  </si>
  <si>
    <t>stalltype</t>
  </si>
  <si>
    <t>striped</t>
  </si>
  <si>
    <t>metered</t>
  </si>
  <si>
    <t>inventorynotes</t>
  </si>
  <si>
    <t>10am-obs</t>
  </si>
  <si>
    <t>11am-obs</t>
  </si>
  <si>
    <t>12pm-obs</t>
  </si>
  <si>
    <t>1pm-obs</t>
  </si>
  <si>
    <t>2pm-obs</t>
  </si>
  <si>
    <t>3pm-obs</t>
  </si>
  <si>
    <t>demandnotes</t>
  </si>
  <si>
    <t>uniquevehicles</t>
  </si>
  <si>
    <t>empty</t>
  </si>
  <si>
    <t>0-1hr</t>
  </si>
  <si>
    <t>1-2hr</t>
  </si>
  <si>
    <t>2-3hr</t>
  </si>
  <si>
    <t>3-4hr</t>
  </si>
  <si>
    <t>4-5hr</t>
  </si>
  <si>
    <t>5-6hr</t>
  </si>
  <si>
    <t>6-7hr</t>
  </si>
  <si>
    <t>7-8hr</t>
  </si>
  <si>
    <t>8-9hr</t>
  </si>
  <si>
    <t>9+hr</t>
  </si>
  <si>
    <t>pctovrsty</t>
  </si>
  <si>
    <t>N Side 1st from Ash to Main</t>
  </si>
  <si>
    <t>2hr</t>
  </si>
  <si>
    <t>n</t>
  </si>
  <si>
    <t>527j</t>
  </si>
  <si>
    <t>525l</t>
  </si>
  <si>
    <t>362e</t>
  </si>
  <si>
    <t>nfz3</t>
  </si>
  <si>
    <t>zcb8</t>
  </si>
  <si>
    <t>829m</t>
  </si>
  <si>
    <t>919m</t>
  </si>
  <si>
    <t>215h</t>
  </si>
  <si>
    <t>E Side Main from 1st to 2nd</t>
  </si>
  <si>
    <t>30min</t>
  </si>
  <si>
    <t>y</t>
  </si>
  <si>
    <t>herz</t>
  </si>
  <si>
    <t>279m</t>
  </si>
  <si>
    <t>267l</t>
  </si>
  <si>
    <t>194g</t>
  </si>
  <si>
    <t>478m</t>
  </si>
  <si>
    <t>486k</t>
  </si>
  <si>
    <t>145e</t>
  </si>
  <si>
    <t>038d</t>
  </si>
  <si>
    <t>722j</t>
  </si>
  <si>
    <t>253m</t>
  </si>
  <si>
    <t>bmm3</t>
  </si>
  <si>
    <t>zaq4</t>
  </si>
  <si>
    <t>399k</t>
  </si>
  <si>
    <t>678g</t>
  </si>
  <si>
    <t>kj28</t>
  </si>
  <si>
    <t>030l</t>
  </si>
  <si>
    <t>239l</t>
  </si>
  <si>
    <t>331m</t>
  </si>
  <si>
    <t>wils</t>
  </si>
  <si>
    <t>704m</t>
  </si>
  <si>
    <t>9x94</t>
  </si>
  <si>
    <t>268m</t>
  </si>
  <si>
    <t>buv2</t>
  </si>
  <si>
    <t>782n</t>
  </si>
  <si>
    <t>814f</t>
  </si>
  <si>
    <t>yhm6</t>
  </si>
  <si>
    <t>678e</t>
  </si>
  <si>
    <t>209m</t>
  </si>
  <si>
    <t>518m</t>
  </si>
  <si>
    <t>822f</t>
  </si>
  <si>
    <t>745h</t>
  </si>
  <si>
    <t>7fhh</t>
  </si>
  <si>
    <t>390e</t>
  </si>
  <si>
    <t>190g</t>
  </si>
  <si>
    <t>306h</t>
  </si>
  <si>
    <t>616j</t>
  </si>
  <si>
    <t>244l</t>
  </si>
  <si>
    <t>867f</t>
  </si>
  <si>
    <t>spin</t>
  </si>
  <si>
    <t>vjd3</t>
  </si>
  <si>
    <t>953l</t>
  </si>
  <si>
    <t>973g</t>
  </si>
  <si>
    <t>817j</t>
  </si>
  <si>
    <t>872k</t>
  </si>
  <si>
    <t>707k</t>
  </si>
  <si>
    <t>loading</t>
  </si>
  <si>
    <t>moor</t>
  </si>
  <si>
    <t>029h</t>
  </si>
  <si>
    <t>xgk9</t>
  </si>
  <si>
    <t>319n</t>
  </si>
  <si>
    <t>830j</t>
  </si>
  <si>
    <t>7t37</t>
  </si>
  <si>
    <t>337m</t>
  </si>
  <si>
    <t>Lot on 2nd and Main</t>
  </si>
  <si>
    <t>8hr</t>
  </si>
  <si>
    <t>553n</t>
  </si>
  <si>
    <t>979f</t>
  </si>
  <si>
    <t>604h</t>
  </si>
  <si>
    <t>720m</t>
  </si>
  <si>
    <t>838c</t>
  </si>
  <si>
    <t>594b</t>
  </si>
  <si>
    <t>179l</t>
  </si>
  <si>
    <t>549h</t>
  </si>
  <si>
    <t>286m</t>
  </si>
  <si>
    <t>704g</t>
  </si>
  <si>
    <t>068g</t>
  </si>
  <si>
    <t>011j</t>
  </si>
  <si>
    <t>580l</t>
  </si>
  <si>
    <t>335g</t>
  </si>
  <si>
    <t>785l</t>
  </si>
  <si>
    <t>162c</t>
  </si>
  <si>
    <t>tsq3</t>
  </si>
  <si>
    <t>632k</t>
  </si>
  <si>
    <t>649j</t>
  </si>
  <si>
    <t>327g</t>
  </si>
  <si>
    <t>498l</t>
  </si>
  <si>
    <t>ada</t>
  </si>
  <si>
    <t>896k</t>
  </si>
  <si>
    <t>076k</t>
  </si>
  <si>
    <t>453l</t>
  </si>
  <si>
    <t>147n</t>
  </si>
  <si>
    <t>7epf</t>
  </si>
  <si>
    <t># Stalls</t>
  </si>
  <si>
    <t>Empty Stalls</t>
  </si>
  <si>
    <t>Demand Percent</t>
  </si>
  <si>
    <t>untimedstalls</t>
  </si>
  <si>
    <t>2hrstalls</t>
  </si>
  <si>
    <t>1hrstalls</t>
  </si>
  <si>
    <t>totalstalls</t>
  </si>
  <si>
    <t>10am-ct</t>
  </si>
  <si>
    <t>11am-ct</t>
  </si>
  <si>
    <t>12pm-ct</t>
  </si>
  <si>
    <t>1pm-ct</t>
  </si>
  <si>
    <t>2pm-ct</t>
  </si>
  <si>
    <t>3pm-ct</t>
  </si>
  <si>
    <t>N side 3rd from Ash to Main</t>
  </si>
  <si>
    <t>S side 3rd from Ash to Main</t>
  </si>
  <si>
    <t>E side Ash from 3rd to 4th</t>
  </si>
  <si>
    <t>W side Ash 3rd to 4th</t>
  </si>
  <si>
    <t>N side 4th from Ash to Main</t>
  </si>
  <si>
    <t>S side 4th from Ash to Main</t>
  </si>
  <si>
    <t>E side Main from 3rd to 4th 2hr</t>
  </si>
  <si>
    <t>E side Main from 3rd to 4th 1hr</t>
  </si>
  <si>
    <t>W side Main from 3rd to 4th 2hr</t>
  </si>
  <si>
    <t>W side Main from 3rd to 4th 1hr</t>
  </si>
  <si>
    <t>3rd &amp; Main parking lot untimed</t>
  </si>
  <si>
    <t>3rd &amp; Main parking lot 2hr</t>
  </si>
  <si>
    <t>3rd &amp; Main parking lot ADA</t>
  </si>
  <si>
    <t>4pm-ct</t>
  </si>
  <si>
    <t>5pm-ct</t>
  </si>
  <si>
    <t>6pm-ct</t>
  </si>
  <si>
    <t>7pm-ct</t>
  </si>
  <si>
    <t>4pm-obs</t>
  </si>
  <si>
    <t>5pm-obs</t>
  </si>
  <si>
    <t>6pm-obs</t>
  </si>
  <si>
    <t>7pm-obs</t>
  </si>
  <si>
    <t>Property</t>
  </si>
  <si>
    <t>Value</t>
  </si>
  <si>
    <t>Stalls/paystation</t>
  </si>
  <si>
    <t>Paystations needed</t>
  </si>
  <si>
    <t>10am-pct</t>
  </si>
  <si>
    <t>11am-pct</t>
  </si>
  <si>
    <t>12pm-pct</t>
  </si>
  <si>
    <t>1pm-pct</t>
  </si>
  <si>
    <t>2pm-pct</t>
  </si>
  <si>
    <t>3pm-pct</t>
  </si>
  <si>
    <t>4pm-pct</t>
  </si>
  <si>
    <t>5pm-pct</t>
  </si>
  <si>
    <t>6pm-pct</t>
  </si>
  <si>
    <t>7pm-pct</t>
  </si>
  <si>
    <t>Peak demand:</t>
  </si>
  <si>
    <t xml:space="preserve">Average demand: </t>
  </si>
  <si>
    <t>Total counts and average occupancy:</t>
  </si>
  <si>
    <t>Annual paystation cost ($1,000/paystation)</t>
  </si>
  <si>
    <t>Cloud payment system ($1000/year +$1/stall))</t>
  </si>
  <si>
    <t>Year 2+ net</t>
  </si>
  <si>
    <t>Year 1 net</t>
  </si>
  <si>
    <t>Net annual revenues (5-year horizon)</t>
  </si>
  <si>
    <t>Annual per stall cost (5-year horizon)</t>
  </si>
  <si>
    <t>Annual per stall gross revenue (5-year horizon)</t>
  </si>
  <si>
    <t>Annual per stall net revenue (5-year horizon)</t>
  </si>
  <si>
    <t>Totals</t>
  </si>
  <si>
    <t>Peak Occupancy Percentage</t>
  </si>
  <si>
    <t>Average Occupancy Percentage</t>
  </si>
  <si>
    <t>Average Stay Time (hrs)</t>
  </si>
  <si>
    <t>Total Percent Overstays</t>
  </si>
  <si>
    <t>stallcount</t>
  </si>
  <si>
    <t>bf01</t>
  </si>
  <si>
    <t>bf02</t>
  </si>
  <si>
    <t>bf03</t>
  </si>
  <si>
    <t>bf04</t>
  </si>
  <si>
    <t>bf05</t>
  </si>
  <si>
    <t>bf06</t>
  </si>
  <si>
    <t>bf07</t>
  </si>
  <si>
    <t>bf08</t>
  </si>
  <si>
    <t>bf09</t>
  </si>
  <si>
    <t>bf10</t>
  </si>
  <si>
    <t>bf11</t>
  </si>
  <si>
    <t>bf12</t>
  </si>
  <si>
    <t>bf13</t>
  </si>
  <si>
    <t>bf14</t>
  </si>
  <si>
    <t>bf15</t>
  </si>
  <si>
    <t>bf16</t>
  </si>
  <si>
    <t>bf17</t>
  </si>
  <si>
    <t>bf18</t>
  </si>
  <si>
    <t>bf19</t>
  </si>
  <si>
    <t>bf20</t>
  </si>
  <si>
    <t>bf21</t>
  </si>
  <si>
    <t>bf22</t>
  </si>
  <si>
    <t>bf23</t>
  </si>
  <si>
    <t>bf24</t>
  </si>
  <si>
    <t>bf25</t>
  </si>
  <si>
    <t>bf26</t>
  </si>
  <si>
    <t>bf27</t>
  </si>
  <si>
    <t>bf28</t>
  </si>
  <si>
    <t>bf29</t>
  </si>
  <si>
    <t>bf30</t>
  </si>
  <si>
    <t>#stays&lt;1hr</t>
  </si>
  <si>
    <t>#stays1-2hr</t>
  </si>
  <si>
    <t>#stays2-3hr</t>
  </si>
  <si>
    <t>#stays3-4hr</t>
  </si>
  <si>
    <t>#stays4-5hr</t>
  </si>
  <si>
    <t>#stays5-6hr</t>
  </si>
  <si>
    <t>#stays6-7hr</t>
  </si>
  <si>
    <t>#stays7-8hr</t>
  </si>
  <si>
    <t>#stays8-9hr</t>
  </si>
  <si>
    <t>#stays&gt;9hr</t>
  </si>
  <si>
    <t>pkocc</t>
  </si>
  <si>
    <t>avgocc</t>
  </si>
  <si>
    <t>10am</t>
  </si>
  <si>
    <t>11am</t>
  </si>
  <si>
    <t>12pm</t>
  </si>
  <si>
    <t>1pm</t>
  </si>
  <si>
    <t>2pm</t>
  </si>
  <si>
    <t>3pm</t>
  </si>
  <si>
    <t>4pm</t>
  </si>
  <si>
    <t>5pm</t>
  </si>
  <si>
    <t>6pm</t>
  </si>
  <si>
    <t>7pm</t>
  </si>
  <si>
    <t>Portland Office District</t>
  </si>
  <si>
    <t>Portland PSU District</t>
  </si>
  <si>
    <t xml:space="preserve">OR enter known or assumed demand </t>
  </si>
  <si>
    <t>Demand Curve from Context</t>
  </si>
  <si>
    <t>Downtown Grants Pass</t>
  </si>
  <si>
    <t>Downtown Forest Grove</t>
  </si>
  <si>
    <t>Downtown Newberg</t>
  </si>
  <si>
    <t>Model demand</t>
  </si>
  <si>
    <t>Projected 1-Day Revenue by Hour, All Stalls</t>
  </si>
  <si>
    <t>Assumed percentage of non-payers</t>
  </si>
  <si>
    <t>10-11am</t>
  </si>
  <si>
    <t>11-noon</t>
  </si>
  <si>
    <t>noon-1pm</t>
  </si>
  <si>
    <t>1-2pm</t>
  </si>
  <si>
    <t>2-3pm</t>
  </si>
  <si>
    <t>3-4pm</t>
  </si>
  <si>
    <t>4-5pm</t>
  </si>
  <si>
    <t>5-6pm</t>
  </si>
  <si>
    <t>6-7pm</t>
  </si>
  <si>
    <t>7-8pm</t>
  </si>
  <si>
    <t>Stalls/Automated license plate reader system</t>
  </si>
  <si>
    <t>Automated license plate reader-equipped vehicles needed</t>
  </si>
  <si>
    <t>Upfront paystation purchase ($7,500/paystation)</t>
  </si>
  <si>
    <t>Upfront automated license place reader purchase ($70,000/veh)</t>
  </si>
  <si>
    <t>License plate reader tech/ back end ($15/year/stall)</t>
  </si>
  <si>
    <t>Hourly rate</t>
  </si>
  <si>
    <t>Metered stalls</t>
  </si>
  <si>
    <t>ADA stalls</t>
  </si>
  <si>
    <t>lot01</t>
  </si>
  <si>
    <t>lot02</t>
  </si>
  <si>
    <t>lot03</t>
  </si>
  <si>
    <t>Metered weekday hours</t>
  </si>
  <si>
    <t>Metered Saturday hours</t>
  </si>
  <si>
    <t>Metered Sunday hours</t>
  </si>
  <si>
    <t>Projected weekday revenue</t>
  </si>
  <si>
    <t>Projected Saturday revenue</t>
  </si>
  <si>
    <t>Projected Sunday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</si>
</sst>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
    <numFmt numFmtId="165" formatCode="&quot;$&quot;#,##0.00"/>
    <numFmt numFmtId="166" formatCode="&quot;$&quot;#,##0"/>
    <numFmt numFmtId="167" formatCode="_(&quot;$&quot;* #,##0_);_(&quot;$&quot;* \(#,##0\);_(&quot;$&quot;* &quot;-&quot;??_);_(@_)"/>
  </numFmts>
  <fonts count="9"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rial"/>
      <family val="2"/>
    </font>
    <font>
      <i/>
      <sz val="10"/>
      <color theme="1"/>
      <name val="Arial"/>
      <family val="2"/>
    </font>
    <font>
      <b/>
      <sz val="10"/>
      <color theme="1"/>
      <name val="Arial"/>
      <family val="2"/>
    </font>
    <font>
      <b/>
      <i/>
      <sz val="10"/>
      <color theme="1"/>
      <name val="Arial"/>
      <family val="2"/>
    </font>
    <font>
      <sz val="8"/>
      <name val="Aptos Narrow"/>
      <family val="2"/>
      <scheme val="minor"/>
    </font>
    <font>
      <sz val="10"/>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rgb="FF00B188"/>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7">
    <xf numFmtId="0" fontId="0" fillId="0" borderId="0" xfId="0"/>
    <xf numFmtId="9" fontId="0" fillId="0" borderId="0" xfId="2" applyFont="1"/>
    <xf numFmtId="164" fontId="0" fillId="0" borderId="0" xfId="2" applyNumberFormat="1" applyFont="1"/>
    <xf numFmtId="165" fontId="0" fillId="0" borderId="0" xfId="0" applyNumberFormat="1"/>
    <xf numFmtId="0" fontId="0" fillId="0" borderId="0" xfId="2" applyNumberFormat="1" applyFont="1"/>
    <xf numFmtId="0" fontId="0" fillId="2" borderId="0" xfId="0" applyFill="1"/>
    <xf numFmtId="165" fontId="0" fillId="2" borderId="0" xfId="1" applyNumberFormat="1" applyFont="1" applyFill="1"/>
    <xf numFmtId="9" fontId="0" fillId="2" borderId="0" xfId="2" applyFont="1" applyFill="1"/>
    <xf numFmtId="0" fontId="3" fillId="3" borderId="0" xfId="0" applyFont="1" applyFill="1"/>
    <xf numFmtId="18" fontId="3" fillId="3" borderId="0" xfId="0" applyNumberFormat="1" applyFont="1" applyFill="1" applyAlignment="1">
      <alignment horizontal="left"/>
    </xf>
    <xf numFmtId="0" fontId="3" fillId="0" borderId="0" xfId="0" applyFont="1"/>
    <xf numFmtId="0" fontId="3" fillId="0" borderId="0" xfId="0" applyFont="1" applyAlignment="1">
      <alignment horizontal="left"/>
    </xf>
    <xf numFmtId="0" fontId="4" fillId="0" borderId="0" xfId="0" applyFont="1"/>
    <xf numFmtId="0" fontId="5" fillId="0" borderId="0" xfId="0" applyFont="1"/>
    <xf numFmtId="1" fontId="3" fillId="0" borderId="0" xfId="0" applyNumberFormat="1" applyFont="1"/>
    <xf numFmtId="18" fontId="3" fillId="3" borderId="0" xfId="0" applyNumberFormat="1" applyFont="1" applyFill="1"/>
    <xf numFmtId="0" fontId="0" fillId="3" borderId="0" xfId="0" applyFill="1"/>
    <xf numFmtId="0" fontId="5" fillId="3" borderId="0" xfId="0" applyFont="1" applyFill="1"/>
    <xf numFmtId="2" fontId="3" fillId="3" borderId="0" xfId="0" applyNumberFormat="1" applyFont="1" applyFill="1"/>
    <xf numFmtId="2" fontId="5" fillId="3" borderId="0" xfId="0" applyNumberFormat="1" applyFont="1" applyFill="1"/>
    <xf numFmtId="0" fontId="6" fillId="3" borderId="0" xfId="0" applyFont="1" applyFill="1"/>
    <xf numFmtId="0" fontId="4" fillId="3" borderId="0" xfId="0" applyFont="1" applyFill="1"/>
    <xf numFmtId="0" fontId="2" fillId="3" borderId="0" xfId="0" applyFont="1" applyFill="1"/>
    <xf numFmtId="0" fontId="8" fillId="3" borderId="0" xfId="0" applyFont="1" applyFill="1"/>
    <xf numFmtId="0" fontId="2" fillId="3" borderId="0" xfId="0" applyFont="1" applyFill="1" applyAlignment="1">
      <alignment horizontal="center" wrapText="1"/>
    </xf>
    <xf numFmtId="166" fontId="0" fillId="0" borderId="0" xfId="1" applyNumberFormat="1" applyFont="1"/>
    <xf numFmtId="166" fontId="0" fillId="0" borderId="0" xfId="0" applyNumberFormat="1"/>
    <xf numFmtId="167" fontId="0" fillId="0" borderId="0" xfId="1" applyNumberFormat="1" applyFont="1"/>
    <xf numFmtId="167" fontId="0" fillId="0" borderId="0" xfId="0" applyNumberFormat="1"/>
    <xf numFmtId="9" fontId="3" fillId="0" borderId="0" xfId="2" applyFont="1"/>
    <xf numFmtId="9" fontId="3" fillId="3" borderId="0" xfId="2" applyFont="1" applyFill="1"/>
    <xf numFmtId="9" fontId="5" fillId="3" borderId="0" xfId="2" applyFont="1" applyFill="1"/>
    <xf numFmtId="9" fontId="4" fillId="3" borderId="0" xfId="2" applyFont="1" applyFill="1"/>
    <xf numFmtId="0" fontId="2" fillId="0" borderId="0" xfId="0" applyFont="1" applyAlignment="1">
      <alignment horizontal="center"/>
    </xf>
    <xf numFmtId="2" fontId="0" fillId="0" borderId="0" xfId="2" applyNumberFormat="1" applyFont="1"/>
    <xf numFmtId="2" fontId="3" fillId="0" borderId="0" xfId="2" applyNumberFormat="1" applyFont="1"/>
    <xf numFmtId="2" fontId="0" fillId="0" borderId="0" xfId="0" applyNumberFormat="1"/>
  </cellXfs>
  <cellStyles count="3">
    <cellStyle name="Currency" xfId="1" builtinId="4"/>
    <cellStyle name="Normal" xfId="0" builtinId="0"/>
    <cellStyle name="Percent" xfId="2" builtinId="5"/>
  </cellStyles>
  <dxfs count="0"/>
  <tableStyles count="0" defaultTableStyle="TableStyleMedium2" defaultPivotStyle="PivotStyleLight16"/>
  <colors>
    <mruColors>
      <color rgb="FF00B188"/>
      <color rgb="FF61B2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Demand Curve by</a:t>
            </a:r>
            <a:r>
              <a:rPr lang="en-US" baseline="0"/>
              <a:t> Metered Hour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'Meter Worksheet'!$I$2:$I$11</c:f>
              <c:numCache>
                <c:formatCode>0%</c:formatCode>
                <c:ptCount val="10"/>
                <c:pt idx="0">
                  <c:v>0.48</c:v>
                </c:pt>
                <c:pt idx="1">
                  <c:v>0.54</c:v>
                </c:pt>
                <c:pt idx="2">
                  <c:v>0.76</c:v>
                </c:pt>
                <c:pt idx="3">
                  <c:v>0.74</c:v>
                </c:pt>
                <c:pt idx="4">
                  <c:v>0.61</c:v>
                </c:pt>
                <c:pt idx="5">
                  <c:v>0.57999999999999996</c:v>
                </c:pt>
                <c:pt idx="6">
                  <c:v>0.69</c:v>
                </c:pt>
                <c:pt idx="7">
                  <c:v>0.85</c:v>
                </c:pt>
                <c:pt idx="8">
                  <c:v>0.92</c:v>
                </c:pt>
                <c:pt idx="9">
                  <c:v>0.85</c:v>
                </c:pt>
              </c:numCache>
            </c:numRef>
          </c:val>
          <c:smooth val="0"/>
          <c:extLst>
            <c:ext xmlns:c16="http://schemas.microsoft.com/office/drawing/2014/chart" uri="{C3380CC4-5D6E-409C-BE32-E72D297353CC}">
              <c16:uniqueId val="{00000001-49F3-48BA-9E6A-4F96DBDF40BD}"/>
            </c:ext>
          </c:extLst>
        </c:ser>
        <c:dLbls>
          <c:showLegendKey val="0"/>
          <c:showVal val="0"/>
          <c:showCatName val="0"/>
          <c:showSerName val="0"/>
          <c:showPercent val="0"/>
          <c:showBubbleSize val="0"/>
        </c:dLbls>
        <c:marker val="1"/>
        <c:smooth val="0"/>
        <c:axId val="1267379071"/>
        <c:axId val="1267383871"/>
      </c:lineChart>
      <c:catAx>
        <c:axId val="1267379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7383871"/>
        <c:crosses val="autoZero"/>
        <c:auto val="1"/>
        <c:lblAlgn val="ctr"/>
        <c:lblOffset val="100"/>
        <c:noMultiLvlLbl val="0"/>
      </c:catAx>
      <c:valAx>
        <c:axId val="12673838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67379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253091</xdr:colOff>
      <xdr:row>0</xdr:row>
      <xdr:rowOff>178251</xdr:rowOff>
    </xdr:from>
    <xdr:to>
      <xdr:col>14</xdr:col>
      <xdr:colOff>434068</xdr:colOff>
      <xdr:row>25</xdr:row>
      <xdr:rowOff>70756</xdr:rowOff>
    </xdr:to>
    <xdr:sp macro="" textlink="">
      <xdr:nvSpPr>
        <xdr:cNvPr id="2" name="TextBox 1">
          <a:extLst>
            <a:ext uri="{FF2B5EF4-FFF2-40B4-BE49-F238E27FC236}">
              <a16:creationId xmlns:a16="http://schemas.microsoft.com/office/drawing/2014/main" id="{698E3BA2-2550-43CD-1BEE-F6CFCB2A3DE8}"/>
            </a:ext>
          </a:extLst>
        </xdr:cNvPr>
        <xdr:cNvSpPr txBox="1"/>
      </xdr:nvSpPr>
      <xdr:spPr>
        <a:xfrm>
          <a:off x="253091" y="178251"/>
          <a:ext cx="8715377" cy="4655005"/>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Occupancy data</a:t>
          </a:r>
          <a:r>
            <a:rPr lang="en-US" sz="1100" b="1" baseline="0"/>
            <a:t> (on the "Occupancy" tab)</a:t>
          </a:r>
          <a:endParaRPr lang="en-US" sz="1100" b="1"/>
        </a:p>
        <a:p>
          <a:endParaRPr lang="en-US" sz="1100" b="1"/>
        </a:p>
        <a:p>
          <a:r>
            <a:rPr lang="en-US" sz="1100" b="1"/>
            <a:t>Numbering blockfaces and</a:t>
          </a:r>
          <a:r>
            <a:rPr lang="en-US" sz="1100" b="1" baseline="0"/>
            <a:t> organizing the spreadsheet</a:t>
          </a:r>
          <a:endParaRPr lang="en-US" sz="1100" b="1"/>
        </a:p>
        <a:p>
          <a:r>
            <a:rPr lang="en-US" sz="1100" b="1"/>
            <a:t>1.</a:t>
          </a:r>
          <a:r>
            <a:rPr lang="en-US" sz="1100"/>
            <a:t> Uniquely number each block</a:t>
          </a:r>
          <a:r>
            <a:rPr lang="en-US" sz="1100" baseline="0"/>
            <a:t>face or lot within the study area in column A, 'facilitynumber.' Each row will correspond to a particular block face or lot. If it is necessary to track different stall types separately (e.g. untimed parking vs. timed parking vs. ada parking), the easiest way to do so will be to have each stall type on its own row. See facility numbers 7 through 12 in the sample data, and refer to Chapter 2 of the Guide for more information.</a:t>
          </a:r>
        </a:p>
        <a:p>
          <a:r>
            <a:rPr lang="en-US" sz="1100" b="1"/>
            <a:t>2.</a:t>
          </a:r>
          <a:r>
            <a:rPr lang="en-US" sz="1100" b="1" baseline="0"/>
            <a:t> </a:t>
          </a:r>
          <a:r>
            <a:rPr lang="en-US" sz="1100"/>
            <a:t>Enter a description of each blockface or lot within the study</a:t>
          </a:r>
          <a:r>
            <a:rPr lang="en-US" sz="1100" baseline="0"/>
            <a:t> area in column B, 'description.' </a:t>
          </a:r>
        </a:p>
        <a:p>
          <a:r>
            <a:rPr lang="en-US" sz="1100" b="1" baseline="0"/>
            <a:t>3. </a:t>
          </a:r>
          <a:r>
            <a:rPr lang="en-US" sz="1100" baseline="0"/>
            <a:t>Add rows as needed above the calculations (currently row 30) to accommodate all blockfaces and lots. Often its easiest to use separate tabs to track blockfaces versus lots respectively. To do this, duplicate the 'Occupancy' tab and rename accordingly.</a:t>
          </a:r>
        </a:p>
        <a:p>
          <a:endParaRPr lang="en-US" sz="1100" b="1" baseline="0"/>
        </a:p>
        <a:p>
          <a:r>
            <a:rPr lang="en-US" sz="1100" b="1" baseline="0"/>
            <a:t>Entering data</a:t>
          </a:r>
        </a:p>
        <a:p>
          <a:r>
            <a:rPr lang="en-US" sz="1100" b="1" baseline="0"/>
            <a:t>4. </a:t>
          </a:r>
          <a:r>
            <a:rPr lang="en-US" sz="1100" baseline="0"/>
            <a:t>Enter stalls by management type in colums C through F, adding additional columns as needed to capture all stall types. The 'totalstalls' parameter in column G will calculate automatically.</a:t>
          </a:r>
        </a:p>
        <a:p>
          <a:r>
            <a:rPr lang="en-US" sz="1100" b="1" baseline="0"/>
            <a:t>5. </a:t>
          </a:r>
          <a:r>
            <a:rPr lang="en-US" sz="1100" baseline="0"/>
            <a:t>Enter counts of parked vehicles in (current) columns I through R. Add, remove, or rename columns as needed to correspond to each observation.</a:t>
          </a:r>
        </a:p>
        <a:p>
          <a:r>
            <a:rPr lang="en-US" sz="1100" b="1" baseline="0"/>
            <a:t>6. </a:t>
          </a:r>
          <a:r>
            <a:rPr lang="en-US" sz="1100" b="0" baseline="0"/>
            <a:t>Occupancy percentages for each observation, to the right of the demand notes (current columns T through AC) will calculate automatically. The total stalls, peak demand, and average demand will also calculate automatically. Be sure all fields are populating and calculating, particularly if you've added columns or rows.</a:t>
          </a:r>
          <a:endParaRPr lang="en-US" sz="1100" b="1" baseline="0"/>
        </a:p>
        <a:p>
          <a:r>
            <a:rPr lang="en-US" sz="1100" b="1" baseline="0"/>
            <a:t>7. </a:t>
          </a:r>
          <a:r>
            <a:rPr lang="en-US" sz="1100" baseline="0">
              <a:solidFill>
                <a:schemeClr val="dk1"/>
              </a:solidFill>
              <a:effectLst/>
              <a:latin typeface="+mn-lt"/>
              <a:ea typeface="+mn-ea"/>
              <a:cs typeface="+mn-cs"/>
            </a:rPr>
            <a:t>Columns are provided for field notes for inventory and demand data. </a:t>
          </a:r>
          <a:endParaRPr lang="en-US" sz="1100" baseline="0"/>
        </a:p>
        <a:p>
          <a:endParaRPr lang="en-US" sz="1100" b="1" baseline="0"/>
        </a:p>
        <a:p>
          <a:r>
            <a:rPr lang="en-US" sz="1100" b="1" baseline="0"/>
            <a:t>Geographic analysis</a:t>
          </a:r>
        </a:p>
        <a:p>
          <a:r>
            <a:rPr lang="en-US" sz="1100" b="1" baseline="0"/>
            <a:t>8. </a:t>
          </a:r>
          <a:r>
            <a:rPr lang="en-US" sz="1100" baseline="0"/>
            <a:t>Once complete, the data can be joined to a GIS layer for visualizatons. The GIS layer will need to be prepared separately to include all lots and block faces for which data will be collected. The 'facilitynumber' field can be used to join the data. Ensure that the 'facilitynumber' is the same within both the spreadsheet and GIS layer. Information on how to join attribute tables can be found here: https://desktop.arcgis.com/en/arcmap/latest/manage-data/tables/joining-attributes-in-one-table-to-another.htm</a:t>
          </a:r>
        </a:p>
        <a:p>
          <a:endParaRPr lang="en-US" sz="1100" baseline="0"/>
        </a:p>
        <a:p>
          <a:r>
            <a:rPr lang="en-US" sz="1100" b="1" baseline="0"/>
            <a:t>Note: </a:t>
          </a:r>
          <a:r>
            <a:rPr lang="en-US" sz="1100" baseline="0"/>
            <a:t>Additional information and instructions can be found by clicking on any cell in the header row.</a:t>
          </a:r>
          <a:endParaRPr lang="en-US" sz="1100"/>
        </a:p>
        <a:p>
          <a:endParaRPr lang="en-US" sz="1100" baseline="0"/>
        </a:p>
      </xdr:txBody>
    </xdr:sp>
    <xdr:clientData/>
  </xdr:twoCellAnchor>
  <xdr:twoCellAnchor>
    <xdr:from>
      <xdr:col>0</xdr:col>
      <xdr:colOff>254450</xdr:colOff>
      <xdr:row>27</xdr:row>
      <xdr:rowOff>85724</xdr:rowOff>
    </xdr:from>
    <xdr:to>
      <xdr:col>14</xdr:col>
      <xdr:colOff>442229</xdr:colOff>
      <xdr:row>55</xdr:row>
      <xdr:rowOff>157843</xdr:rowOff>
    </xdr:to>
    <xdr:sp macro="" textlink="">
      <xdr:nvSpPr>
        <xdr:cNvPr id="3" name="TextBox 2">
          <a:extLst>
            <a:ext uri="{FF2B5EF4-FFF2-40B4-BE49-F238E27FC236}">
              <a16:creationId xmlns:a16="http://schemas.microsoft.com/office/drawing/2014/main" id="{C93FBE3F-71D1-4AC5-B6CC-212D670F3224}"/>
            </a:ext>
          </a:extLst>
        </xdr:cNvPr>
        <xdr:cNvSpPr txBox="1"/>
      </xdr:nvSpPr>
      <xdr:spPr>
        <a:xfrm>
          <a:off x="254450" y="5229224"/>
          <a:ext cx="8722179" cy="5406119"/>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Turnover data</a:t>
          </a:r>
          <a:r>
            <a:rPr lang="en-US" sz="1100" b="1" baseline="0"/>
            <a:t> (on the "Turnover" tab)</a:t>
          </a:r>
          <a:endParaRPr lang="en-US" sz="1100" b="1"/>
        </a:p>
        <a:p>
          <a:endParaRPr lang="en-US" sz="1100" b="1"/>
        </a:p>
        <a:p>
          <a:r>
            <a:rPr lang="en-US" sz="1100" b="1"/>
            <a:t>Entering stall information and organizing the spreadsheet</a:t>
          </a:r>
        </a:p>
        <a:p>
          <a:r>
            <a:rPr lang="en-US" sz="1100" b="1"/>
            <a:t>1.</a:t>
          </a:r>
          <a:r>
            <a:rPr lang="en-US" sz="1100"/>
            <a:t> For turnover data, each</a:t>
          </a:r>
          <a:r>
            <a:rPr lang="en-US" sz="1100" baseline="0"/>
            <a:t> row within the spreadsheet will correspond to one parking space. </a:t>
          </a:r>
          <a:r>
            <a:rPr lang="en-US" sz="1100"/>
            <a:t>Uniquely number each block</a:t>
          </a:r>
          <a:r>
            <a:rPr lang="en-US" sz="1100" baseline="0"/>
            <a:t>face or lot within the study area in column A, 'facilitynumber.' Each parking space within a given blockface or lot will share the same 'facilitynumber.'</a:t>
          </a:r>
        </a:p>
        <a:p>
          <a:r>
            <a:rPr lang="en-US" sz="1100" b="1" baseline="0"/>
            <a:t>2. </a:t>
          </a:r>
          <a:r>
            <a:rPr lang="en-US" sz="1100" baseline="0"/>
            <a:t>Enter additional inventory information for each stall, including the description, stall type, whether it is striped, and whether it is metered (columns C through F, respectively). Add additional columns if needed to note other parameters of each parking space.</a:t>
          </a:r>
        </a:p>
        <a:p>
          <a:r>
            <a:rPr lang="en-US" sz="1100" b="1" baseline="0"/>
            <a:t>3. </a:t>
          </a:r>
          <a:r>
            <a:rPr lang="en-US" sz="1100" baseline="0"/>
            <a:t>Add rows as needed above the calculations (currently row 31) to accommodate all stalls within the study area. Ensure that there are no blank rows above the calculations.</a:t>
          </a:r>
          <a:endParaRPr lang="en-US" sz="1100" b="1" baseline="0"/>
        </a:p>
        <a:p>
          <a:endParaRPr lang="en-US" sz="1100" b="1" baseline="0"/>
        </a:p>
        <a:p>
          <a:r>
            <a:rPr lang="en-US" sz="1100" b="1" baseline="0"/>
            <a:t>Entering and analyzing data</a:t>
          </a:r>
        </a:p>
        <a:p>
          <a:r>
            <a:rPr lang="en-US" sz="1100" b="1" baseline="0"/>
            <a:t>4. </a:t>
          </a:r>
          <a:r>
            <a:rPr lang="en-US" sz="1100" b="0" baseline="0"/>
            <a:t>For each stall, note the license plate of any car parked during each hour (columns H through Q)</a:t>
          </a:r>
          <a:r>
            <a:rPr lang="en-US" sz="1100" baseline="0"/>
            <a:t>. </a:t>
          </a:r>
        </a:p>
        <a:p>
          <a:r>
            <a:rPr lang="en-US" sz="1100" b="1" baseline="0"/>
            <a:t>5. </a:t>
          </a:r>
          <a:r>
            <a:rPr lang="en-US" sz="1100" b="0" baseline="0"/>
            <a:t>Columns to the right of 'demandnotes' (current column R) will calculate various turnover properties automatically, including the number of unique vehicles served (column S), the number of hours the stall was empty (column T), and the number of vehicles that stayed 0-1 hour, 1-2 hours, etc. (columns U through AD).</a:t>
          </a:r>
        </a:p>
        <a:p>
          <a:r>
            <a:rPr lang="en-US" sz="1100" b="1" baseline="0"/>
            <a:t>6.</a:t>
          </a:r>
          <a:r>
            <a:rPr lang="en-US" sz="1100" b="0" baseline="0"/>
            <a:t> To calculate the percentage of overstays (column AF), the number first column after "SUM" in the formula must correspond to the first overtime bin in columns U through AD. For example, if the time limit for row 2 were two hours, the sum range should be "SUM(W2:AD2)," encompassing all bins longer than 2 hours. If the time limit were three hours, it would be "SUM(X2:AD2)," etc. Note that this will need to be manually adjusted for different time limits, so organize your spreadsheet accordingly.</a:t>
          </a:r>
        </a:p>
        <a:p>
          <a:r>
            <a:rPr lang="en-US" sz="1100" b="1" baseline="0"/>
            <a:t>7. </a:t>
          </a:r>
          <a:r>
            <a:rPr lang="en-US" sz="1100" b="0" baseline="0"/>
            <a:t>Columns to the right of 'pctovrsty' are calculated parameters tracking vehicle stay times. Be sure to 'fill down' to include all parking stalls but don't edit these otherwise.</a:t>
          </a:r>
          <a:endParaRPr lang="en-US" sz="1100" b="1" baseline="0"/>
        </a:p>
        <a:p>
          <a:r>
            <a:rPr lang="en-US" sz="1100" b="1" baseline="0"/>
            <a:t>8. </a:t>
          </a:r>
          <a:r>
            <a:rPr lang="en-US" sz="1100" baseline="0">
              <a:solidFill>
                <a:schemeClr val="dk1"/>
              </a:solidFill>
              <a:effectLst/>
              <a:latin typeface="+mn-lt"/>
              <a:ea typeface="+mn-ea"/>
              <a:cs typeface="+mn-cs"/>
            </a:rPr>
            <a:t>Columns are provided for field notes for inventory and demand data. </a:t>
          </a:r>
        </a:p>
        <a:p>
          <a:endParaRPr lang="en-US" sz="1100" baseline="0">
            <a:solidFill>
              <a:schemeClr val="dk1"/>
            </a:solidFill>
            <a:effectLst/>
            <a:latin typeface="+mn-lt"/>
            <a:ea typeface="+mn-ea"/>
            <a:cs typeface="+mn-cs"/>
          </a:endParaRPr>
        </a:p>
        <a:p>
          <a:r>
            <a:rPr lang="en-US" sz="1100" b="1" baseline="0">
              <a:solidFill>
                <a:schemeClr val="dk1"/>
              </a:solidFill>
              <a:effectLst/>
              <a:latin typeface="+mn-lt"/>
              <a:ea typeface="+mn-ea"/>
              <a:cs typeface="+mn-cs"/>
            </a:rPr>
            <a:t>Geographic analysis</a:t>
          </a: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9. </a:t>
          </a:r>
          <a:r>
            <a:rPr lang="en-US" sz="1100" b="0" baseline="0">
              <a:solidFill>
                <a:schemeClr val="dk1"/>
              </a:solidFill>
              <a:effectLst/>
              <a:latin typeface="+mn-lt"/>
              <a:ea typeface="+mn-ea"/>
              <a:cs typeface="+mn-cs"/>
            </a:rPr>
            <a:t>The tab entitled "TurnoverGIS" will auto-populate as data are entered into the "Turnover" tab. This summarizes turnover data on a blockface-by-blockface basis (rather than stall-by-stall). This </a:t>
          </a:r>
          <a:r>
            <a:rPr lang="en-US" sz="1100" baseline="0">
              <a:solidFill>
                <a:schemeClr val="dk1"/>
              </a:solidFill>
              <a:effectLst/>
              <a:latin typeface="+mn-lt"/>
              <a:ea typeface="+mn-ea"/>
              <a:cs typeface="+mn-cs"/>
            </a:rPr>
            <a:t>can be then be joined to a GIS layer for visualizatons. As above, he GIS layer will need to be prepared separately to include all lots and block faces for which data will be collected. The 'facilitynumber' field can be used to join the data. Ensure the 'facilitynumber' is the same within both the spreadsheet and GIS layer.</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baseline="0">
              <a:solidFill>
                <a:schemeClr val="dk1"/>
              </a:solidFill>
              <a:effectLst/>
              <a:latin typeface="+mn-lt"/>
              <a:ea typeface="+mn-ea"/>
              <a:cs typeface="+mn-cs"/>
            </a:rPr>
            <a:t>Note: </a:t>
          </a:r>
          <a:r>
            <a:rPr lang="en-US" sz="1100" baseline="0">
              <a:solidFill>
                <a:schemeClr val="dk1"/>
              </a:solidFill>
              <a:effectLst/>
              <a:latin typeface="+mn-lt"/>
              <a:ea typeface="+mn-ea"/>
              <a:cs typeface="+mn-cs"/>
            </a:rPr>
            <a:t>Additional information and instructions can be found by clicking on any cell in the header row.</a:t>
          </a:r>
          <a:endParaRPr lang="en-US">
            <a:effectLst/>
          </a:endParaRPr>
        </a:p>
      </xdr:txBody>
    </xdr:sp>
    <xdr:clientData/>
  </xdr:twoCellAnchor>
  <xdr:twoCellAnchor>
    <xdr:from>
      <xdr:col>0</xdr:col>
      <xdr:colOff>244928</xdr:colOff>
      <xdr:row>56</xdr:row>
      <xdr:rowOff>140154</xdr:rowOff>
    </xdr:from>
    <xdr:to>
      <xdr:col>14</xdr:col>
      <xdr:colOff>436788</xdr:colOff>
      <xdr:row>61</xdr:row>
      <xdr:rowOff>63954</xdr:rowOff>
    </xdr:to>
    <xdr:sp macro="" textlink="">
      <xdr:nvSpPr>
        <xdr:cNvPr id="4" name="TextBox 3">
          <a:extLst>
            <a:ext uri="{FF2B5EF4-FFF2-40B4-BE49-F238E27FC236}">
              <a16:creationId xmlns:a16="http://schemas.microsoft.com/office/drawing/2014/main" id="{A749F458-13BF-4B62-B864-EE33AF7F6231}"/>
            </a:ext>
          </a:extLst>
        </xdr:cNvPr>
        <xdr:cNvSpPr txBox="1"/>
      </xdr:nvSpPr>
      <xdr:spPr>
        <a:xfrm>
          <a:off x="244928" y="10808154"/>
          <a:ext cx="8726260" cy="876300"/>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0">
              <a:solidFill>
                <a:schemeClr val="dk1"/>
              </a:solidFill>
              <a:effectLst/>
              <a:latin typeface="+mn-lt"/>
              <a:ea typeface="+mn-ea"/>
              <a:cs typeface="+mn-cs"/>
            </a:rPr>
            <a:t>Metering costs and revenues:</a:t>
          </a:r>
          <a:endParaRPr lang="en-US" b="1">
            <a:effectLst/>
          </a:endParaRPr>
        </a:p>
        <a:p>
          <a:r>
            <a:rPr lang="en-US" sz="1100" baseline="0">
              <a:solidFill>
                <a:schemeClr val="dk1"/>
              </a:solidFill>
              <a:effectLst/>
              <a:latin typeface="+mn-lt"/>
              <a:ea typeface="+mn-ea"/>
              <a:cs typeface="+mn-cs"/>
            </a:rPr>
            <a:t>See instructions on the sheet entitled "Meter worksheet." </a:t>
          </a:r>
        </a:p>
        <a:p>
          <a:endParaRPr lang="en-US" sz="1100" baseline="0">
            <a:solidFill>
              <a:schemeClr val="dk1"/>
            </a:solidFill>
            <a:effectLst/>
            <a:latin typeface="+mn-lt"/>
            <a:ea typeface="+mn-ea"/>
            <a:cs typeface="+mn-cs"/>
          </a:endParaRPr>
        </a:p>
        <a:p>
          <a:r>
            <a:rPr lang="en-US" sz="1100" baseline="0">
              <a:solidFill>
                <a:schemeClr val="dk1"/>
              </a:solidFill>
              <a:effectLst/>
              <a:latin typeface="+mn-lt"/>
              <a:ea typeface="+mn-ea"/>
              <a:cs typeface="+mn-cs"/>
            </a:rPr>
            <a:t>Occupancy percentages from the 'Occupancy' or 'Turnover' worksheets can be used to replace the assumed peak and average occupancies.</a:t>
          </a:r>
          <a:endParaRPr lang="en-US">
            <a:effectLst/>
          </a:endParaRPr>
        </a:p>
      </xdr:txBody>
    </xdr:sp>
    <xdr:clientData/>
  </xdr:twoCellAnchor>
  <xdr:twoCellAnchor>
    <xdr:from>
      <xdr:col>0</xdr:col>
      <xdr:colOff>246286</xdr:colOff>
      <xdr:row>62</xdr:row>
      <xdr:rowOff>29935</xdr:rowOff>
    </xdr:from>
    <xdr:to>
      <xdr:col>14</xdr:col>
      <xdr:colOff>438146</xdr:colOff>
      <xdr:row>64</xdr:row>
      <xdr:rowOff>6804</xdr:rowOff>
    </xdr:to>
    <xdr:sp macro="" textlink="">
      <xdr:nvSpPr>
        <xdr:cNvPr id="6" name="TextBox 5">
          <a:extLst>
            <a:ext uri="{FF2B5EF4-FFF2-40B4-BE49-F238E27FC236}">
              <a16:creationId xmlns:a16="http://schemas.microsoft.com/office/drawing/2014/main" id="{3C84F531-D86B-4C62-B7BE-E4E37892616C}"/>
            </a:ext>
          </a:extLst>
        </xdr:cNvPr>
        <xdr:cNvSpPr txBox="1"/>
      </xdr:nvSpPr>
      <xdr:spPr>
        <a:xfrm>
          <a:off x="246286" y="11840935"/>
          <a:ext cx="8726260" cy="357869"/>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baseline="0">
              <a:solidFill>
                <a:schemeClr val="dk1"/>
              </a:solidFill>
              <a:effectLst/>
              <a:latin typeface="+mn-lt"/>
              <a:ea typeface="+mn-ea"/>
              <a:cs typeface="+mn-cs"/>
            </a:rPr>
            <a:t>If you have questions, comments, or need assistance using this tool, please contact Evan Manvel at </a:t>
          </a:r>
          <a:r>
            <a:rPr lang="en-US" sz="1100" b="0" i="0">
              <a:solidFill>
                <a:schemeClr val="dk1"/>
              </a:solidFill>
              <a:effectLst/>
              <a:latin typeface="+mn-lt"/>
              <a:ea typeface="+mn-ea"/>
              <a:cs typeface="+mn-cs"/>
            </a:rPr>
            <a:t>Evan.MANVEL@dlcd.oregon.gov or 971-375-5979</a:t>
          </a:r>
          <a:endParaRPr lang="en-US" b="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315686</xdr:colOff>
      <xdr:row>1</xdr:row>
      <xdr:rowOff>76200</xdr:rowOff>
    </xdr:from>
    <xdr:to>
      <xdr:col>4</xdr:col>
      <xdr:colOff>631372</xdr:colOff>
      <xdr:row>9</xdr:row>
      <xdr:rowOff>163287</xdr:rowOff>
    </xdr:to>
    <xdr:sp macro="" textlink="">
      <xdr:nvSpPr>
        <xdr:cNvPr id="2" name="TextBox 1">
          <a:extLst>
            <a:ext uri="{FF2B5EF4-FFF2-40B4-BE49-F238E27FC236}">
              <a16:creationId xmlns:a16="http://schemas.microsoft.com/office/drawing/2014/main" id="{062F7230-C011-DB21-95A7-875E0536C9B0}"/>
            </a:ext>
          </a:extLst>
        </xdr:cNvPr>
        <xdr:cNvSpPr txBox="1"/>
      </xdr:nvSpPr>
      <xdr:spPr>
        <a:xfrm>
          <a:off x="5301343" y="261257"/>
          <a:ext cx="2122715" cy="1197430"/>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Input a value for all variables highlighted in yellow. Educated guesses are fine, as this tool is intended to provide only a rough estimate of metering costs and revenues.</a:t>
          </a:r>
        </a:p>
      </xdr:txBody>
    </xdr:sp>
    <xdr:clientData/>
  </xdr:twoCellAnchor>
  <xdr:twoCellAnchor>
    <xdr:from>
      <xdr:col>2</xdr:col>
      <xdr:colOff>310243</xdr:colOff>
      <xdr:row>10</xdr:row>
      <xdr:rowOff>157843</xdr:rowOff>
    </xdr:from>
    <xdr:to>
      <xdr:col>4</xdr:col>
      <xdr:colOff>625929</xdr:colOff>
      <xdr:row>16</xdr:row>
      <xdr:rowOff>43543</xdr:rowOff>
    </xdr:to>
    <xdr:sp macro="" textlink="">
      <xdr:nvSpPr>
        <xdr:cNvPr id="3" name="TextBox 2">
          <a:extLst>
            <a:ext uri="{FF2B5EF4-FFF2-40B4-BE49-F238E27FC236}">
              <a16:creationId xmlns:a16="http://schemas.microsoft.com/office/drawing/2014/main" id="{F26AAC10-E277-4449-9F30-2A9D219420AC}"/>
            </a:ext>
          </a:extLst>
        </xdr:cNvPr>
        <xdr:cNvSpPr txBox="1"/>
      </xdr:nvSpPr>
      <xdr:spPr>
        <a:xfrm>
          <a:off x="5295900" y="1638300"/>
          <a:ext cx="2122715" cy="625929"/>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any cell in the 'Value' column for an explanation and instructions.</a:t>
          </a:r>
        </a:p>
      </xdr:txBody>
    </xdr:sp>
    <xdr:clientData/>
  </xdr:twoCellAnchor>
  <xdr:twoCellAnchor>
    <xdr:from>
      <xdr:col>2</xdr:col>
      <xdr:colOff>315686</xdr:colOff>
      <xdr:row>17</xdr:row>
      <xdr:rowOff>21770</xdr:rowOff>
    </xdr:from>
    <xdr:to>
      <xdr:col>4</xdr:col>
      <xdr:colOff>631372</xdr:colOff>
      <xdr:row>27</xdr:row>
      <xdr:rowOff>38100</xdr:rowOff>
    </xdr:to>
    <xdr:sp macro="" textlink="">
      <xdr:nvSpPr>
        <xdr:cNvPr id="4" name="TextBox 3">
          <a:extLst>
            <a:ext uri="{FF2B5EF4-FFF2-40B4-BE49-F238E27FC236}">
              <a16:creationId xmlns:a16="http://schemas.microsoft.com/office/drawing/2014/main" id="{6A762742-4775-4AAA-BF66-8A8C0B309DD4}"/>
            </a:ext>
          </a:extLst>
        </xdr:cNvPr>
        <xdr:cNvSpPr txBox="1"/>
      </xdr:nvSpPr>
      <xdr:spPr>
        <a:xfrm>
          <a:off x="5146766" y="2764970"/>
          <a:ext cx="2129246" cy="1845130"/>
        </a:xfrm>
        <a:prstGeom prst="rect">
          <a:avLst/>
        </a:prstGeom>
        <a:solidFill>
          <a:srgbClr val="61B2E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Note that this worksheet</a:t>
          </a:r>
          <a:r>
            <a:rPr lang="en-US" sz="1100" baseline="0"/>
            <a:t> does not include any costs or revenues associated with enforcement. However it does contemplate costs of technology associated with enforcement (e.g., license plate recognition and automated LPR), as these are often procured with paystations and cloud solutions </a:t>
          </a:r>
          <a:endParaRPr lang="en-US" sz="1100"/>
        </a:p>
      </xdr:txBody>
    </xdr:sp>
    <xdr:clientData/>
  </xdr:twoCellAnchor>
  <xdr:twoCellAnchor>
    <xdr:from>
      <xdr:col>4</xdr:col>
      <xdr:colOff>870856</xdr:colOff>
      <xdr:row>12</xdr:row>
      <xdr:rowOff>144370</xdr:rowOff>
    </xdr:from>
    <xdr:to>
      <xdr:col>10</xdr:col>
      <xdr:colOff>136071</xdr:colOff>
      <xdr:row>31</xdr:row>
      <xdr:rowOff>124504</xdr:rowOff>
    </xdr:to>
    <xdr:graphicFrame macro="">
      <xdr:nvGraphicFramePr>
        <xdr:cNvPr id="5" name="Chart 4">
          <a:extLst>
            <a:ext uri="{FF2B5EF4-FFF2-40B4-BE49-F238E27FC236}">
              <a16:creationId xmlns:a16="http://schemas.microsoft.com/office/drawing/2014/main" id="{0AD25C99-53C9-B672-B78C-86E1A5681E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F8945-30E3-4DD0-AC38-C07C176D5EAF}">
  <dimension ref="A1"/>
  <sheetViews>
    <sheetView tabSelected="1" workbookViewId="0">
      <selection activeCell="P46" sqref="P46"/>
    </sheetView>
  </sheetViews>
  <sheetFormatPr defaultRowHeight="15" x14ac:dyDescent="0.25"/>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5A638B-344E-4A36-8C29-6DF74AAD7A08}">
  <dimension ref="A1:AC65"/>
  <sheetViews>
    <sheetView topLeftCell="L1" zoomScaleNormal="100" workbookViewId="0">
      <selection activeCell="S1" sqref="S1"/>
    </sheetView>
  </sheetViews>
  <sheetFormatPr defaultColWidth="9.140625" defaultRowHeight="12.75" x14ac:dyDescent="0.2"/>
  <cols>
    <col min="1" max="1" width="11.7109375" style="10" customWidth="1"/>
    <col min="2" max="2" width="33.85546875" style="10" customWidth="1"/>
    <col min="3" max="3" width="11.5703125" style="10" customWidth="1"/>
    <col min="4" max="4" width="8.7109375" style="10" customWidth="1"/>
    <col min="5" max="5" width="10.5703125" style="12" customWidth="1"/>
    <col min="6" max="6" width="11.140625" style="12" customWidth="1"/>
    <col min="7" max="7" width="10.140625" style="12" customWidth="1"/>
    <col min="8" max="8" width="14.28515625" style="12" customWidth="1"/>
    <col min="9" max="10" width="9.5703125" style="10" bestFit="1" customWidth="1"/>
    <col min="11" max="11" width="9.7109375" style="10" bestFit="1" customWidth="1"/>
    <col min="12" max="18" width="9.28515625" style="10" bestFit="1" customWidth="1"/>
    <col min="19" max="19" width="18.5703125" style="10" customWidth="1"/>
    <col min="20" max="29" width="8.7109375" style="10" customWidth="1"/>
    <col min="30" max="32" width="6.85546875" style="10" customWidth="1"/>
    <col min="33" max="33" width="12.42578125" style="10" customWidth="1"/>
    <col min="34" max="34" width="13" style="10" customWidth="1"/>
    <col min="35" max="41" width="6.85546875" style="10" customWidth="1"/>
    <col min="42" max="16384" width="9.140625" style="10"/>
  </cols>
  <sheetData>
    <row r="1" spans="1:29" s="8" customFormat="1" x14ac:dyDescent="0.2">
      <c r="A1" s="8" t="s">
        <v>11</v>
      </c>
      <c r="B1" s="8" t="s">
        <v>13</v>
      </c>
      <c r="C1" s="8" t="s">
        <v>137</v>
      </c>
      <c r="D1" s="8" t="s">
        <v>138</v>
      </c>
      <c r="E1" s="8" t="s">
        <v>139</v>
      </c>
      <c r="F1" s="8" t="s">
        <v>278</v>
      </c>
      <c r="G1" s="8" t="s">
        <v>140</v>
      </c>
      <c r="H1" s="8" t="s">
        <v>17</v>
      </c>
      <c r="I1" s="15" t="s">
        <v>141</v>
      </c>
      <c r="J1" s="15" t="s">
        <v>142</v>
      </c>
      <c r="K1" s="15" t="s">
        <v>143</v>
      </c>
      <c r="L1" s="15" t="s">
        <v>144</v>
      </c>
      <c r="M1" s="15" t="s">
        <v>145</v>
      </c>
      <c r="N1" s="15" t="s">
        <v>146</v>
      </c>
      <c r="O1" s="15" t="s">
        <v>160</v>
      </c>
      <c r="P1" s="15" t="s">
        <v>161</v>
      </c>
      <c r="Q1" s="15" t="s">
        <v>162</v>
      </c>
      <c r="R1" s="15" t="s">
        <v>163</v>
      </c>
      <c r="S1" s="8" t="s">
        <v>24</v>
      </c>
      <c r="T1" s="15" t="s">
        <v>172</v>
      </c>
      <c r="U1" s="15" t="s">
        <v>173</v>
      </c>
      <c r="V1" s="15" t="s">
        <v>174</v>
      </c>
      <c r="W1" s="15" t="s">
        <v>175</v>
      </c>
      <c r="X1" s="15" t="s">
        <v>176</v>
      </c>
      <c r="Y1" s="15" t="s">
        <v>177</v>
      </c>
      <c r="Z1" s="15" t="s">
        <v>178</v>
      </c>
      <c r="AA1" s="15" t="s">
        <v>179</v>
      </c>
      <c r="AB1" s="15" t="s">
        <v>180</v>
      </c>
      <c r="AC1" s="15" t="s">
        <v>181</v>
      </c>
    </row>
    <row r="2" spans="1:29" x14ac:dyDescent="0.2">
      <c r="A2" s="10" t="s">
        <v>199</v>
      </c>
      <c r="B2" s="10" t="s">
        <v>147</v>
      </c>
      <c r="C2" s="10">
        <v>0</v>
      </c>
      <c r="D2" s="10">
        <v>8</v>
      </c>
      <c r="E2" s="10">
        <v>0</v>
      </c>
      <c r="F2" s="10">
        <v>0</v>
      </c>
      <c r="G2" s="10">
        <f>SUM(C2:F2)</f>
        <v>8</v>
      </c>
      <c r="H2" s="10"/>
      <c r="I2" s="10">
        <v>7</v>
      </c>
      <c r="J2" s="10">
        <v>7</v>
      </c>
      <c r="K2" s="10">
        <v>8</v>
      </c>
      <c r="L2" s="10">
        <v>7</v>
      </c>
      <c r="M2" s="10">
        <v>7</v>
      </c>
      <c r="N2" s="10">
        <v>6</v>
      </c>
      <c r="O2" s="10">
        <v>6</v>
      </c>
      <c r="P2" s="10">
        <v>7</v>
      </c>
      <c r="Q2" s="10">
        <v>8</v>
      </c>
      <c r="R2" s="10">
        <v>6</v>
      </c>
      <c r="T2" s="35">
        <f>I2/$G2</f>
        <v>0.875</v>
      </c>
      <c r="U2" s="35">
        <f t="shared" ref="U2:AC2" si="0">J2/$G2</f>
        <v>0.875</v>
      </c>
      <c r="V2" s="35">
        <f t="shared" si="0"/>
        <v>1</v>
      </c>
      <c r="W2" s="35">
        <f t="shared" si="0"/>
        <v>0.875</v>
      </c>
      <c r="X2" s="35">
        <f t="shared" si="0"/>
        <v>0.875</v>
      </c>
      <c r="Y2" s="35">
        <f t="shared" si="0"/>
        <v>0.75</v>
      </c>
      <c r="Z2" s="35">
        <f t="shared" si="0"/>
        <v>0.75</v>
      </c>
      <c r="AA2" s="35">
        <f t="shared" si="0"/>
        <v>0.875</v>
      </c>
      <c r="AB2" s="35">
        <f t="shared" si="0"/>
        <v>1</v>
      </c>
      <c r="AC2" s="35">
        <f t="shared" si="0"/>
        <v>0.75</v>
      </c>
    </row>
    <row r="3" spans="1:29" x14ac:dyDescent="0.2">
      <c r="A3" s="10" t="s">
        <v>200</v>
      </c>
      <c r="B3" s="10" t="s">
        <v>148</v>
      </c>
      <c r="C3" s="10">
        <v>0</v>
      </c>
      <c r="D3" s="10">
        <v>9</v>
      </c>
      <c r="E3" s="10">
        <v>0</v>
      </c>
      <c r="F3" s="10">
        <v>0</v>
      </c>
      <c r="G3" s="10">
        <f t="shared" ref="G3:G14" si="1">SUM(C3:F3)</f>
        <v>9</v>
      </c>
      <c r="H3" s="10"/>
      <c r="I3" s="10">
        <v>7</v>
      </c>
      <c r="J3" s="10">
        <v>5</v>
      </c>
      <c r="K3" s="10">
        <v>7</v>
      </c>
      <c r="L3" s="10">
        <v>6</v>
      </c>
      <c r="M3" s="10">
        <v>8</v>
      </c>
      <c r="N3" s="10">
        <v>7</v>
      </c>
      <c r="O3" s="10">
        <v>6</v>
      </c>
      <c r="P3" s="10">
        <v>6</v>
      </c>
      <c r="Q3" s="10">
        <v>7</v>
      </c>
      <c r="R3" s="10">
        <v>7</v>
      </c>
      <c r="T3" s="35">
        <f t="shared" ref="T3:T14" si="2">I3/$G3</f>
        <v>0.77777777777777779</v>
      </c>
      <c r="U3" s="35">
        <f t="shared" ref="U3:U14" si="3">J3/$G3</f>
        <v>0.55555555555555558</v>
      </c>
      <c r="V3" s="35">
        <f t="shared" ref="V3:V14" si="4">K3/$G3</f>
        <v>0.77777777777777779</v>
      </c>
      <c r="W3" s="35">
        <f t="shared" ref="W3:W14" si="5">L3/$G3</f>
        <v>0.66666666666666663</v>
      </c>
      <c r="X3" s="35">
        <f t="shared" ref="X3:X14" si="6">M3/$G3</f>
        <v>0.88888888888888884</v>
      </c>
      <c r="Y3" s="35">
        <f t="shared" ref="Y3:Y14" si="7">N3/$G3</f>
        <v>0.77777777777777779</v>
      </c>
      <c r="Z3" s="35">
        <f t="shared" ref="Z3:Z14" si="8">O3/$G3</f>
        <v>0.66666666666666663</v>
      </c>
      <c r="AA3" s="35">
        <f t="shared" ref="AA3:AA14" si="9">P3/$G3</f>
        <v>0.66666666666666663</v>
      </c>
      <c r="AB3" s="35">
        <f t="shared" ref="AB3:AB14" si="10">Q3/$G3</f>
        <v>0.77777777777777779</v>
      </c>
      <c r="AC3" s="35">
        <f t="shared" ref="AC3:AC14" si="11">R3/$G3</f>
        <v>0.77777777777777779</v>
      </c>
    </row>
    <row r="4" spans="1:29" x14ac:dyDescent="0.2">
      <c r="A4" s="10" t="s">
        <v>201</v>
      </c>
      <c r="B4" s="10" t="s">
        <v>149</v>
      </c>
      <c r="C4" s="10">
        <v>0</v>
      </c>
      <c r="D4" s="10">
        <v>7</v>
      </c>
      <c r="E4" s="10">
        <v>0</v>
      </c>
      <c r="F4" s="10">
        <v>1</v>
      </c>
      <c r="G4" s="10">
        <f t="shared" si="1"/>
        <v>8</v>
      </c>
      <c r="H4" s="10"/>
      <c r="I4" s="10">
        <v>5</v>
      </c>
      <c r="J4" s="10">
        <v>2</v>
      </c>
      <c r="K4" s="10">
        <v>2</v>
      </c>
      <c r="L4" s="10">
        <v>4</v>
      </c>
      <c r="M4" s="10">
        <v>6</v>
      </c>
      <c r="N4" s="10">
        <v>5</v>
      </c>
      <c r="O4" s="10">
        <v>6</v>
      </c>
      <c r="P4" s="10">
        <v>4</v>
      </c>
      <c r="Q4" s="10">
        <v>6</v>
      </c>
      <c r="R4" s="10">
        <v>5</v>
      </c>
      <c r="T4" s="35">
        <f t="shared" si="2"/>
        <v>0.625</v>
      </c>
      <c r="U4" s="35">
        <f t="shared" si="3"/>
        <v>0.25</v>
      </c>
      <c r="V4" s="35">
        <f t="shared" si="4"/>
        <v>0.25</v>
      </c>
      <c r="W4" s="35">
        <f t="shared" si="5"/>
        <v>0.5</v>
      </c>
      <c r="X4" s="35">
        <f t="shared" si="6"/>
        <v>0.75</v>
      </c>
      <c r="Y4" s="35">
        <f t="shared" si="7"/>
        <v>0.625</v>
      </c>
      <c r="Z4" s="35">
        <f t="shared" si="8"/>
        <v>0.75</v>
      </c>
      <c r="AA4" s="35">
        <f t="shared" si="9"/>
        <v>0.5</v>
      </c>
      <c r="AB4" s="35">
        <f t="shared" si="10"/>
        <v>0.75</v>
      </c>
      <c r="AC4" s="35">
        <f t="shared" si="11"/>
        <v>0.625</v>
      </c>
    </row>
    <row r="5" spans="1:29" x14ac:dyDescent="0.2">
      <c r="A5" s="10" t="s">
        <v>202</v>
      </c>
      <c r="B5" s="10" t="s">
        <v>150</v>
      </c>
      <c r="C5" s="10">
        <v>0</v>
      </c>
      <c r="D5" s="10">
        <v>5</v>
      </c>
      <c r="E5" s="10">
        <v>0</v>
      </c>
      <c r="F5" s="10">
        <v>0</v>
      </c>
      <c r="G5" s="10">
        <f t="shared" si="1"/>
        <v>5</v>
      </c>
      <c r="H5" s="10"/>
      <c r="I5" s="10">
        <v>2</v>
      </c>
      <c r="J5" s="10">
        <v>1</v>
      </c>
      <c r="K5" s="10">
        <v>2</v>
      </c>
      <c r="L5" s="10">
        <v>3</v>
      </c>
      <c r="M5" s="10">
        <v>2</v>
      </c>
      <c r="N5" s="10">
        <v>4</v>
      </c>
      <c r="O5" s="10">
        <v>4</v>
      </c>
      <c r="P5" s="10">
        <v>4</v>
      </c>
      <c r="Q5" s="10">
        <v>5</v>
      </c>
      <c r="R5" s="10">
        <v>3</v>
      </c>
      <c r="T5" s="35">
        <f t="shared" si="2"/>
        <v>0.4</v>
      </c>
      <c r="U5" s="35">
        <f t="shared" si="3"/>
        <v>0.2</v>
      </c>
      <c r="V5" s="35">
        <f t="shared" si="4"/>
        <v>0.4</v>
      </c>
      <c r="W5" s="35">
        <f t="shared" si="5"/>
        <v>0.6</v>
      </c>
      <c r="X5" s="35">
        <f t="shared" si="6"/>
        <v>0.4</v>
      </c>
      <c r="Y5" s="35">
        <f t="shared" si="7"/>
        <v>0.8</v>
      </c>
      <c r="Z5" s="35">
        <f t="shared" si="8"/>
        <v>0.8</v>
      </c>
      <c r="AA5" s="35">
        <f t="shared" si="9"/>
        <v>0.8</v>
      </c>
      <c r="AB5" s="35">
        <f t="shared" si="10"/>
        <v>1</v>
      </c>
      <c r="AC5" s="35">
        <f t="shared" si="11"/>
        <v>0.6</v>
      </c>
    </row>
    <row r="6" spans="1:29" x14ac:dyDescent="0.2">
      <c r="A6" s="10" t="s">
        <v>203</v>
      </c>
      <c r="B6" s="10" t="s">
        <v>151</v>
      </c>
      <c r="C6" s="10">
        <v>0</v>
      </c>
      <c r="D6" s="10">
        <v>8</v>
      </c>
      <c r="E6" s="10">
        <v>0</v>
      </c>
      <c r="F6" s="10">
        <v>0</v>
      </c>
      <c r="G6" s="10">
        <f t="shared" si="1"/>
        <v>8</v>
      </c>
      <c r="H6" s="10"/>
      <c r="I6" s="10">
        <v>8</v>
      </c>
      <c r="J6" s="10">
        <v>7</v>
      </c>
      <c r="K6" s="10">
        <v>7</v>
      </c>
      <c r="L6" s="10">
        <v>8</v>
      </c>
      <c r="M6" s="10">
        <v>8</v>
      </c>
      <c r="N6" s="10">
        <v>7</v>
      </c>
      <c r="O6" s="10">
        <v>8</v>
      </c>
      <c r="P6" s="10">
        <v>5</v>
      </c>
      <c r="Q6" s="10">
        <v>6</v>
      </c>
      <c r="R6" s="10">
        <v>6</v>
      </c>
      <c r="T6" s="35">
        <f t="shared" si="2"/>
        <v>1</v>
      </c>
      <c r="U6" s="35">
        <f t="shared" si="3"/>
        <v>0.875</v>
      </c>
      <c r="V6" s="35">
        <f t="shared" si="4"/>
        <v>0.875</v>
      </c>
      <c r="W6" s="35">
        <f t="shared" si="5"/>
        <v>1</v>
      </c>
      <c r="X6" s="35">
        <f t="shared" si="6"/>
        <v>1</v>
      </c>
      <c r="Y6" s="35">
        <f t="shared" si="7"/>
        <v>0.875</v>
      </c>
      <c r="Z6" s="35">
        <f t="shared" si="8"/>
        <v>1</v>
      </c>
      <c r="AA6" s="35">
        <f t="shared" si="9"/>
        <v>0.625</v>
      </c>
      <c r="AB6" s="35">
        <f t="shared" si="10"/>
        <v>0.75</v>
      </c>
      <c r="AC6" s="35">
        <f t="shared" si="11"/>
        <v>0.75</v>
      </c>
    </row>
    <row r="7" spans="1:29" x14ac:dyDescent="0.2">
      <c r="A7" s="10" t="s">
        <v>204</v>
      </c>
      <c r="B7" s="10" t="s">
        <v>152</v>
      </c>
      <c r="C7" s="10">
        <v>0</v>
      </c>
      <c r="D7" s="10">
        <v>8</v>
      </c>
      <c r="E7" s="10">
        <v>0</v>
      </c>
      <c r="F7" s="10">
        <v>1</v>
      </c>
      <c r="G7" s="10">
        <f t="shared" si="1"/>
        <v>9</v>
      </c>
      <c r="H7" s="10"/>
      <c r="I7" s="10">
        <v>6</v>
      </c>
      <c r="J7" s="10">
        <v>6</v>
      </c>
      <c r="K7" s="10">
        <v>6</v>
      </c>
      <c r="L7" s="10">
        <v>6</v>
      </c>
      <c r="M7" s="10">
        <v>6</v>
      </c>
      <c r="N7" s="10">
        <v>5</v>
      </c>
      <c r="O7" s="10">
        <v>5</v>
      </c>
      <c r="P7" s="10">
        <v>5</v>
      </c>
      <c r="Q7" s="10">
        <v>8</v>
      </c>
      <c r="R7" s="10">
        <v>7</v>
      </c>
      <c r="T7" s="35">
        <f t="shared" si="2"/>
        <v>0.66666666666666663</v>
      </c>
      <c r="U7" s="35">
        <f t="shared" si="3"/>
        <v>0.66666666666666663</v>
      </c>
      <c r="V7" s="35">
        <f t="shared" si="4"/>
        <v>0.66666666666666663</v>
      </c>
      <c r="W7" s="35">
        <f t="shared" si="5"/>
        <v>0.66666666666666663</v>
      </c>
      <c r="X7" s="35">
        <f t="shared" si="6"/>
        <v>0.66666666666666663</v>
      </c>
      <c r="Y7" s="35">
        <f t="shared" si="7"/>
        <v>0.55555555555555558</v>
      </c>
      <c r="Z7" s="35">
        <f t="shared" si="8"/>
        <v>0.55555555555555558</v>
      </c>
      <c r="AA7" s="35">
        <f t="shared" si="9"/>
        <v>0.55555555555555558</v>
      </c>
      <c r="AB7" s="35">
        <f t="shared" si="10"/>
        <v>0.88888888888888884</v>
      </c>
      <c r="AC7" s="35">
        <f t="shared" si="11"/>
        <v>0.77777777777777779</v>
      </c>
    </row>
    <row r="8" spans="1:29" x14ac:dyDescent="0.2">
      <c r="A8" s="10" t="s">
        <v>205</v>
      </c>
      <c r="B8" s="10" t="s">
        <v>153</v>
      </c>
      <c r="C8" s="10">
        <v>0</v>
      </c>
      <c r="D8" s="10">
        <v>5</v>
      </c>
      <c r="E8" s="10">
        <v>0</v>
      </c>
      <c r="F8" s="10">
        <v>0</v>
      </c>
      <c r="G8" s="10">
        <f t="shared" si="1"/>
        <v>5</v>
      </c>
      <c r="H8" s="10"/>
      <c r="I8" s="10">
        <v>4</v>
      </c>
      <c r="J8" s="10">
        <v>3</v>
      </c>
      <c r="K8" s="10">
        <v>3</v>
      </c>
      <c r="L8" s="10">
        <v>2</v>
      </c>
      <c r="M8" s="10">
        <v>3</v>
      </c>
      <c r="N8" s="10">
        <v>5</v>
      </c>
      <c r="O8" s="10">
        <v>4</v>
      </c>
      <c r="P8" s="10">
        <v>3</v>
      </c>
      <c r="Q8" s="10">
        <v>5</v>
      </c>
      <c r="R8" s="10">
        <v>4</v>
      </c>
      <c r="T8" s="35">
        <f t="shared" si="2"/>
        <v>0.8</v>
      </c>
      <c r="U8" s="35">
        <f t="shared" si="3"/>
        <v>0.6</v>
      </c>
      <c r="V8" s="35">
        <f t="shared" si="4"/>
        <v>0.6</v>
      </c>
      <c r="W8" s="35">
        <f t="shared" si="5"/>
        <v>0.4</v>
      </c>
      <c r="X8" s="35">
        <f t="shared" si="6"/>
        <v>0.6</v>
      </c>
      <c r="Y8" s="35">
        <f t="shared" si="7"/>
        <v>1</v>
      </c>
      <c r="Z8" s="35">
        <f t="shared" si="8"/>
        <v>0.8</v>
      </c>
      <c r="AA8" s="35">
        <f t="shared" si="9"/>
        <v>0.6</v>
      </c>
      <c r="AB8" s="35">
        <f t="shared" si="10"/>
        <v>1</v>
      </c>
      <c r="AC8" s="35">
        <f t="shared" si="11"/>
        <v>0.8</v>
      </c>
    </row>
    <row r="9" spans="1:29" x14ac:dyDescent="0.2">
      <c r="A9" s="10" t="s">
        <v>206</v>
      </c>
      <c r="B9" s="10" t="s">
        <v>154</v>
      </c>
      <c r="C9" s="10">
        <v>0</v>
      </c>
      <c r="D9" s="10">
        <v>0</v>
      </c>
      <c r="E9" s="10">
        <v>4</v>
      </c>
      <c r="F9" s="10">
        <v>0</v>
      </c>
      <c r="G9" s="10">
        <f t="shared" si="1"/>
        <v>4</v>
      </c>
      <c r="H9" s="10"/>
      <c r="I9" s="10">
        <v>3</v>
      </c>
      <c r="J9" s="10">
        <v>3</v>
      </c>
      <c r="K9" s="10">
        <v>4</v>
      </c>
      <c r="L9" s="10">
        <v>4</v>
      </c>
      <c r="M9" s="10">
        <v>3</v>
      </c>
      <c r="N9" s="10">
        <v>4</v>
      </c>
      <c r="O9" s="10">
        <v>4</v>
      </c>
      <c r="P9" s="10">
        <v>3</v>
      </c>
      <c r="Q9" s="10">
        <v>3</v>
      </c>
      <c r="R9" s="10">
        <v>3</v>
      </c>
      <c r="T9" s="35">
        <f t="shared" si="2"/>
        <v>0.75</v>
      </c>
      <c r="U9" s="35">
        <f t="shared" si="3"/>
        <v>0.75</v>
      </c>
      <c r="V9" s="35">
        <f t="shared" si="4"/>
        <v>1</v>
      </c>
      <c r="W9" s="35">
        <f t="shared" si="5"/>
        <v>1</v>
      </c>
      <c r="X9" s="35">
        <f t="shared" si="6"/>
        <v>0.75</v>
      </c>
      <c r="Y9" s="35">
        <f t="shared" si="7"/>
        <v>1</v>
      </c>
      <c r="Z9" s="35">
        <f t="shared" si="8"/>
        <v>1</v>
      </c>
      <c r="AA9" s="35">
        <f t="shared" si="9"/>
        <v>0.75</v>
      </c>
      <c r="AB9" s="35">
        <f t="shared" si="10"/>
        <v>0.75</v>
      </c>
      <c r="AC9" s="35">
        <f t="shared" si="11"/>
        <v>0.75</v>
      </c>
    </row>
    <row r="10" spans="1:29" x14ac:dyDescent="0.2">
      <c r="A10" s="10" t="s">
        <v>207</v>
      </c>
      <c r="B10" s="10" t="s">
        <v>155</v>
      </c>
      <c r="C10" s="10">
        <v>0</v>
      </c>
      <c r="D10" s="10">
        <v>2</v>
      </c>
      <c r="E10" s="10">
        <v>0</v>
      </c>
      <c r="F10" s="10">
        <v>0</v>
      </c>
      <c r="G10" s="10">
        <f t="shared" si="1"/>
        <v>2</v>
      </c>
      <c r="H10" s="10"/>
      <c r="I10" s="10">
        <v>0</v>
      </c>
      <c r="J10" s="10">
        <v>0</v>
      </c>
      <c r="K10" s="10">
        <v>0</v>
      </c>
      <c r="L10" s="10">
        <v>2</v>
      </c>
      <c r="M10" s="10">
        <v>2</v>
      </c>
      <c r="N10" s="10">
        <v>1</v>
      </c>
      <c r="O10" s="10">
        <v>2</v>
      </c>
      <c r="P10" s="10">
        <v>1</v>
      </c>
      <c r="Q10" s="10">
        <v>2</v>
      </c>
      <c r="R10" s="10">
        <v>2</v>
      </c>
      <c r="T10" s="35">
        <f t="shared" si="2"/>
        <v>0</v>
      </c>
      <c r="U10" s="35">
        <f t="shared" si="3"/>
        <v>0</v>
      </c>
      <c r="V10" s="35">
        <f t="shared" si="4"/>
        <v>0</v>
      </c>
      <c r="W10" s="35">
        <f t="shared" si="5"/>
        <v>1</v>
      </c>
      <c r="X10" s="35">
        <f t="shared" si="6"/>
        <v>1</v>
      </c>
      <c r="Y10" s="35">
        <f t="shared" si="7"/>
        <v>0.5</v>
      </c>
      <c r="Z10" s="35">
        <f t="shared" si="8"/>
        <v>1</v>
      </c>
      <c r="AA10" s="35">
        <f t="shared" si="9"/>
        <v>0.5</v>
      </c>
      <c r="AB10" s="35">
        <f t="shared" si="10"/>
        <v>1</v>
      </c>
      <c r="AC10" s="35">
        <f t="shared" si="11"/>
        <v>1</v>
      </c>
    </row>
    <row r="11" spans="1:29" x14ac:dyDescent="0.2">
      <c r="A11" s="10" t="s">
        <v>208</v>
      </c>
      <c r="B11" s="10" t="s">
        <v>156</v>
      </c>
      <c r="C11" s="10">
        <v>0</v>
      </c>
      <c r="D11" s="10">
        <v>0</v>
      </c>
      <c r="E11" s="10">
        <v>7</v>
      </c>
      <c r="F11" s="10">
        <v>0</v>
      </c>
      <c r="G11" s="10">
        <f t="shared" si="1"/>
        <v>7</v>
      </c>
      <c r="H11" s="10"/>
      <c r="I11" s="10">
        <v>3</v>
      </c>
      <c r="J11" s="10">
        <v>6</v>
      </c>
      <c r="K11" s="10">
        <v>4</v>
      </c>
      <c r="L11" s="10">
        <v>5</v>
      </c>
      <c r="M11" s="10">
        <v>2</v>
      </c>
      <c r="N11" s="10">
        <v>5</v>
      </c>
      <c r="O11" s="10">
        <v>3</v>
      </c>
      <c r="P11" s="10">
        <v>5</v>
      </c>
      <c r="Q11" s="10">
        <v>6</v>
      </c>
      <c r="R11" s="10">
        <v>5</v>
      </c>
      <c r="T11" s="35">
        <f t="shared" si="2"/>
        <v>0.42857142857142855</v>
      </c>
      <c r="U11" s="35">
        <f t="shared" si="3"/>
        <v>0.8571428571428571</v>
      </c>
      <c r="V11" s="35">
        <f t="shared" si="4"/>
        <v>0.5714285714285714</v>
      </c>
      <c r="W11" s="35">
        <f t="shared" si="5"/>
        <v>0.7142857142857143</v>
      </c>
      <c r="X11" s="35">
        <f t="shared" si="6"/>
        <v>0.2857142857142857</v>
      </c>
      <c r="Y11" s="35">
        <f t="shared" si="7"/>
        <v>0.7142857142857143</v>
      </c>
      <c r="Z11" s="35">
        <f t="shared" si="8"/>
        <v>0.42857142857142855</v>
      </c>
      <c r="AA11" s="35">
        <f t="shared" si="9"/>
        <v>0.7142857142857143</v>
      </c>
      <c r="AB11" s="35">
        <f t="shared" si="10"/>
        <v>0.8571428571428571</v>
      </c>
      <c r="AC11" s="35">
        <f t="shared" si="11"/>
        <v>0.7142857142857143</v>
      </c>
    </row>
    <row r="12" spans="1:29" x14ac:dyDescent="0.2">
      <c r="A12" s="10" t="s">
        <v>279</v>
      </c>
      <c r="B12" s="10" t="s">
        <v>157</v>
      </c>
      <c r="C12" s="10">
        <v>24</v>
      </c>
      <c r="D12" s="10">
        <v>0</v>
      </c>
      <c r="E12" s="10">
        <v>0</v>
      </c>
      <c r="F12" s="10">
        <v>0</v>
      </c>
      <c r="G12" s="10">
        <f t="shared" si="1"/>
        <v>24</v>
      </c>
      <c r="H12" s="10"/>
      <c r="I12" s="10">
        <v>11</v>
      </c>
      <c r="J12" s="10">
        <v>15</v>
      </c>
      <c r="K12" s="10">
        <v>20</v>
      </c>
      <c r="L12" s="10">
        <v>22</v>
      </c>
      <c r="M12" s="10">
        <v>22</v>
      </c>
      <c r="N12" s="10">
        <v>20</v>
      </c>
      <c r="O12" s="10">
        <v>18</v>
      </c>
      <c r="P12" s="10">
        <v>22</v>
      </c>
      <c r="Q12" s="10">
        <v>22</v>
      </c>
      <c r="R12" s="10">
        <v>19</v>
      </c>
      <c r="T12" s="35">
        <f t="shared" si="2"/>
        <v>0.45833333333333331</v>
      </c>
      <c r="U12" s="35">
        <f t="shared" si="3"/>
        <v>0.625</v>
      </c>
      <c r="V12" s="35">
        <f t="shared" si="4"/>
        <v>0.83333333333333337</v>
      </c>
      <c r="W12" s="35">
        <f t="shared" si="5"/>
        <v>0.91666666666666663</v>
      </c>
      <c r="X12" s="35">
        <f t="shared" si="6"/>
        <v>0.91666666666666663</v>
      </c>
      <c r="Y12" s="35">
        <f t="shared" si="7"/>
        <v>0.83333333333333337</v>
      </c>
      <c r="Z12" s="35">
        <f t="shared" si="8"/>
        <v>0.75</v>
      </c>
      <c r="AA12" s="35">
        <f t="shared" si="9"/>
        <v>0.91666666666666663</v>
      </c>
      <c r="AB12" s="35">
        <f t="shared" si="10"/>
        <v>0.91666666666666663</v>
      </c>
      <c r="AC12" s="35">
        <f t="shared" si="11"/>
        <v>0.79166666666666663</v>
      </c>
    </row>
    <row r="13" spans="1:29" x14ac:dyDescent="0.2">
      <c r="A13" s="10" t="s">
        <v>280</v>
      </c>
      <c r="B13" s="10" t="s">
        <v>158</v>
      </c>
      <c r="C13" s="10">
        <v>0</v>
      </c>
      <c r="D13" s="10">
        <v>15</v>
      </c>
      <c r="E13" s="10">
        <v>0</v>
      </c>
      <c r="F13" s="10">
        <v>0</v>
      </c>
      <c r="G13" s="10">
        <f t="shared" si="1"/>
        <v>15</v>
      </c>
      <c r="H13" s="10"/>
      <c r="I13" s="10">
        <v>8</v>
      </c>
      <c r="J13" s="10">
        <v>8</v>
      </c>
      <c r="K13" s="10">
        <v>9</v>
      </c>
      <c r="L13" s="10">
        <v>12</v>
      </c>
      <c r="M13" s="10">
        <v>9</v>
      </c>
      <c r="N13" s="10">
        <v>12</v>
      </c>
      <c r="O13" s="10">
        <v>14</v>
      </c>
      <c r="P13" s="10">
        <v>13</v>
      </c>
      <c r="Q13" s="10">
        <v>12</v>
      </c>
      <c r="R13" s="10">
        <v>12</v>
      </c>
      <c r="T13" s="35">
        <f t="shared" si="2"/>
        <v>0.53333333333333333</v>
      </c>
      <c r="U13" s="35">
        <f t="shared" si="3"/>
        <v>0.53333333333333333</v>
      </c>
      <c r="V13" s="35">
        <f t="shared" si="4"/>
        <v>0.6</v>
      </c>
      <c r="W13" s="35">
        <f t="shared" si="5"/>
        <v>0.8</v>
      </c>
      <c r="X13" s="35">
        <f t="shared" si="6"/>
        <v>0.6</v>
      </c>
      <c r="Y13" s="35">
        <f t="shared" si="7"/>
        <v>0.8</v>
      </c>
      <c r="Z13" s="35">
        <f t="shared" si="8"/>
        <v>0.93333333333333335</v>
      </c>
      <c r="AA13" s="35">
        <f t="shared" si="9"/>
        <v>0.8666666666666667</v>
      </c>
      <c r="AB13" s="35">
        <f t="shared" si="10"/>
        <v>0.8</v>
      </c>
      <c r="AC13" s="35">
        <f t="shared" si="11"/>
        <v>0.8</v>
      </c>
    </row>
    <row r="14" spans="1:29" x14ac:dyDescent="0.2">
      <c r="A14" s="10" t="s">
        <v>281</v>
      </c>
      <c r="B14" s="10" t="s">
        <v>159</v>
      </c>
      <c r="C14" s="10">
        <v>0</v>
      </c>
      <c r="D14" s="10">
        <v>0</v>
      </c>
      <c r="E14" s="10">
        <v>0</v>
      </c>
      <c r="F14" s="10">
        <v>6</v>
      </c>
      <c r="G14" s="10">
        <f t="shared" si="1"/>
        <v>6</v>
      </c>
      <c r="H14" s="10"/>
      <c r="I14" s="10">
        <v>2</v>
      </c>
      <c r="J14" s="10">
        <v>2</v>
      </c>
      <c r="K14" s="10">
        <v>3</v>
      </c>
      <c r="L14" s="10">
        <v>6</v>
      </c>
      <c r="M14" s="10">
        <v>4</v>
      </c>
      <c r="N14" s="10">
        <v>5</v>
      </c>
      <c r="O14" s="10">
        <v>5</v>
      </c>
      <c r="P14" s="10">
        <v>4</v>
      </c>
      <c r="Q14" s="10">
        <v>5</v>
      </c>
      <c r="R14" s="10">
        <v>5</v>
      </c>
      <c r="T14" s="35">
        <f t="shared" si="2"/>
        <v>0.33333333333333331</v>
      </c>
      <c r="U14" s="35">
        <f t="shared" si="3"/>
        <v>0.33333333333333331</v>
      </c>
      <c r="V14" s="35">
        <f t="shared" si="4"/>
        <v>0.5</v>
      </c>
      <c r="W14" s="35">
        <f t="shared" si="5"/>
        <v>1</v>
      </c>
      <c r="X14" s="35">
        <f t="shared" si="6"/>
        <v>0.66666666666666663</v>
      </c>
      <c r="Y14" s="35">
        <f t="shared" si="7"/>
        <v>0.83333333333333337</v>
      </c>
      <c r="Z14" s="35">
        <f t="shared" si="8"/>
        <v>0.83333333333333337</v>
      </c>
      <c r="AA14" s="35">
        <f t="shared" si="9"/>
        <v>0.66666666666666663</v>
      </c>
      <c r="AB14" s="35">
        <f t="shared" si="10"/>
        <v>0.83333333333333337</v>
      </c>
      <c r="AC14" s="35">
        <f t="shared" si="11"/>
        <v>0.83333333333333337</v>
      </c>
    </row>
    <row r="15" spans="1:29" x14ac:dyDescent="0.2">
      <c r="E15" s="10"/>
      <c r="F15" s="10"/>
      <c r="G15" s="10"/>
      <c r="H15" s="10"/>
      <c r="T15" s="35"/>
      <c r="U15" s="35"/>
      <c r="V15" s="35"/>
      <c r="W15" s="35"/>
      <c r="X15" s="35"/>
      <c r="Y15" s="35"/>
      <c r="Z15" s="35"/>
      <c r="AA15" s="35"/>
      <c r="AB15" s="35"/>
      <c r="AC15" s="35"/>
    </row>
    <row r="16" spans="1:29" x14ac:dyDescent="0.2">
      <c r="T16" s="35"/>
      <c r="U16" s="35"/>
      <c r="V16" s="35"/>
      <c r="W16" s="35"/>
      <c r="X16" s="35"/>
      <c r="Y16" s="35"/>
      <c r="Z16" s="35"/>
      <c r="AA16" s="35"/>
      <c r="AB16" s="35"/>
      <c r="AC16" s="35"/>
    </row>
    <row r="17" spans="2:29" x14ac:dyDescent="0.2">
      <c r="T17" s="35"/>
      <c r="U17" s="35"/>
      <c r="V17" s="35"/>
      <c r="W17" s="35"/>
      <c r="X17" s="35"/>
      <c r="Y17" s="35"/>
      <c r="Z17" s="35"/>
      <c r="AA17" s="35"/>
      <c r="AB17" s="35"/>
      <c r="AC17" s="35"/>
    </row>
    <row r="18" spans="2:29" x14ac:dyDescent="0.2">
      <c r="T18" s="35"/>
      <c r="U18" s="35"/>
      <c r="V18" s="35"/>
      <c r="W18" s="35"/>
      <c r="X18" s="35"/>
      <c r="Y18" s="35"/>
      <c r="Z18" s="35"/>
      <c r="AA18" s="35"/>
      <c r="AB18" s="35"/>
      <c r="AC18" s="35"/>
    </row>
    <row r="19" spans="2:29" x14ac:dyDescent="0.2">
      <c r="T19" s="35"/>
      <c r="U19" s="35"/>
      <c r="V19" s="35"/>
      <c r="W19" s="35"/>
      <c r="X19" s="35"/>
      <c r="Y19" s="35"/>
      <c r="Z19" s="35"/>
      <c r="AA19" s="35"/>
      <c r="AB19" s="35"/>
      <c r="AC19" s="35"/>
    </row>
    <row r="20" spans="2:29" x14ac:dyDescent="0.2">
      <c r="T20" s="35"/>
      <c r="U20" s="35"/>
      <c r="V20" s="35"/>
      <c r="W20" s="35"/>
      <c r="X20" s="35"/>
      <c r="Y20" s="35"/>
      <c r="Z20" s="35"/>
      <c r="AA20" s="35"/>
      <c r="AB20" s="35"/>
      <c r="AC20" s="35"/>
    </row>
    <row r="21" spans="2:29" x14ac:dyDescent="0.2">
      <c r="T21" s="35"/>
      <c r="U21" s="35"/>
      <c r="V21" s="35"/>
      <c r="W21" s="35"/>
      <c r="X21" s="35"/>
      <c r="Y21" s="35"/>
      <c r="Z21" s="35"/>
      <c r="AA21" s="35"/>
      <c r="AB21" s="35"/>
      <c r="AC21" s="35"/>
    </row>
    <row r="22" spans="2:29" x14ac:dyDescent="0.2">
      <c r="T22" s="35"/>
      <c r="U22" s="35"/>
      <c r="V22" s="35"/>
      <c r="W22" s="35"/>
      <c r="X22" s="35"/>
      <c r="Y22" s="35"/>
      <c r="Z22" s="35"/>
      <c r="AA22" s="35"/>
      <c r="AB22" s="35"/>
      <c r="AC22" s="35"/>
    </row>
    <row r="23" spans="2:29" x14ac:dyDescent="0.2">
      <c r="T23" s="35"/>
      <c r="U23" s="35"/>
      <c r="V23" s="35"/>
      <c r="W23" s="35"/>
      <c r="X23" s="35"/>
      <c r="Y23" s="35"/>
      <c r="Z23" s="35"/>
      <c r="AA23" s="35"/>
      <c r="AB23" s="35"/>
      <c r="AC23" s="35"/>
    </row>
    <row r="24" spans="2:29" x14ac:dyDescent="0.2">
      <c r="T24" s="35"/>
      <c r="U24" s="35"/>
      <c r="V24" s="35"/>
      <c r="W24" s="35"/>
      <c r="X24" s="35"/>
      <c r="Y24" s="35"/>
      <c r="Z24" s="35"/>
      <c r="AA24" s="35"/>
      <c r="AB24" s="35"/>
      <c r="AC24" s="35"/>
    </row>
    <row r="25" spans="2:29" x14ac:dyDescent="0.2">
      <c r="T25" s="35"/>
      <c r="U25" s="35"/>
      <c r="V25" s="35"/>
      <c r="W25" s="35"/>
      <c r="X25" s="35"/>
      <c r="Y25" s="35"/>
      <c r="Z25" s="35"/>
      <c r="AA25" s="35"/>
      <c r="AB25" s="35"/>
      <c r="AC25" s="35"/>
    </row>
    <row r="26" spans="2:29" x14ac:dyDescent="0.2">
      <c r="T26" s="35"/>
      <c r="U26" s="35"/>
      <c r="V26" s="35"/>
      <c r="W26" s="35"/>
      <c r="X26" s="35"/>
      <c r="Y26" s="35"/>
      <c r="Z26" s="35"/>
      <c r="AA26" s="35"/>
      <c r="AB26" s="35"/>
      <c r="AC26" s="35"/>
    </row>
    <row r="27" spans="2:29" x14ac:dyDescent="0.2">
      <c r="T27" s="35"/>
      <c r="U27" s="35"/>
      <c r="V27" s="35"/>
      <c r="W27" s="35"/>
      <c r="X27" s="35"/>
      <c r="Y27" s="35"/>
      <c r="Z27" s="35"/>
      <c r="AA27" s="35"/>
      <c r="AB27" s="35"/>
      <c r="AC27" s="35"/>
    </row>
    <row r="28" spans="2:29" x14ac:dyDescent="0.2">
      <c r="T28" s="35"/>
      <c r="U28" s="35"/>
      <c r="V28" s="35"/>
      <c r="W28" s="35"/>
      <c r="X28" s="35"/>
      <c r="Y28" s="35"/>
      <c r="Z28" s="35"/>
      <c r="AA28" s="35"/>
      <c r="AB28" s="35"/>
      <c r="AC28" s="35"/>
    </row>
    <row r="29" spans="2:29" x14ac:dyDescent="0.2">
      <c r="T29" s="35"/>
      <c r="U29" s="35"/>
      <c r="V29" s="35"/>
      <c r="W29" s="35"/>
      <c r="X29" s="35"/>
      <c r="Y29" s="35"/>
      <c r="Z29" s="35"/>
      <c r="AA29" s="35"/>
      <c r="AB29" s="35"/>
      <c r="AC29" s="35"/>
    </row>
    <row r="30" spans="2:29" s="8" customFormat="1" x14ac:dyDescent="0.2">
      <c r="B30" s="17" t="s">
        <v>184</v>
      </c>
      <c r="C30" s="8">
        <f>SUM(C2:C29)</f>
        <v>24</v>
      </c>
      <c r="D30" s="8">
        <f>SUM(D2:D29)</f>
        <v>67</v>
      </c>
      <c r="E30" s="8">
        <f>SUM(E2:E29)</f>
        <v>11</v>
      </c>
      <c r="F30" s="8">
        <f>SUM(F2:F29)</f>
        <v>8</v>
      </c>
      <c r="G30" s="8">
        <f>SUM(G2:G29)</f>
        <v>110</v>
      </c>
      <c r="I30" s="8">
        <f t="shared" ref="I30:R30" si="12">SUM(I2:I29)</f>
        <v>66</v>
      </c>
      <c r="J30" s="8">
        <f t="shared" si="12"/>
        <v>65</v>
      </c>
      <c r="K30" s="8">
        <f t="shared" si="12"/>
        <v>75</v>
      </c>
      <c r="L30" s="8">
        <f t="shared" si="12"/>
        <v>87</v>
      </c>
      <c r="M30" s="8">
        <f t="shared" si="12"/>
        <v>82</v>
      </c>
      <c r="N30" s="8">
        <f t="shared" si="12"/>
        <v>86</v>
      </c>
      <c r="O30" s="8">
        <f t="shared" si="12"/>
        <v>85</v>
      </c>
      <c r="P30" s="8">
        <f t="shared" si="12"/>
        <v>82</v>
      </c>
      <c r="Q30" s="8">
        <f t="shared" si="12"/>
        <v>95</v>
      </c>
      <c r="R30" s="8">
        <f t="shared" si="12"/>
        <v>84</v>
      </c>
      <c r="T30" s="30">
        <f>I30/$G30</f>
        <v>0.6</v>
      </c>
      <c r="U30" s="30">
        <f t="shared" ref="U30:AC30" si="13">J30/$G30</f>
        <v>0.59090909090909094</v>
      </c>
      <c r="V30" s="30">
        <f t="shared" si="13"/>
        <v>0.68181818181818177</v>
      </c>
      <c r="W30" s="30">
        <f t="shared" si="13"/>
        <v>0.79090909090909089</v>
      </c>
      <c r="X30" s="30">
        <f t="shared" si="13"/>
        <v>0.74545454545454548</v>
      </c>
      <c r="Y30" s="30">
        <f t="shared" si="13"/>
        <v>0.78181818181818186</v>
      </c>
      <c r="Z30" s="30">
        <f t="shared" si="13"/>
        <v>0.77272727272727271</v>
      </c>
      <c r="AA30" s="30">
        <f t="shared" si="13"/>
        <v>0.74545454545454548</v>
      </c>
      <c r="AB30" s="30">
        <f t="shared" si="13"/>
        <v>0.86363636363636365</v>
      </c>
      <c r="AC30" s="30">
        <f t="shared" si="13"/>
        <v>0.76363636363636367</v>
      </c>
    </row>
    <row r="31" spans="2:29" s="17" customFormat="1" x14ac:dyDescent="0.2">
      <c r="B31" s="17" t="s">
        <v>182</v>
      </c>
      <c r="C31" s="31">
        <f>MAX(I30:R30)/G30</f>
        <v>0.86363636363636365</v>
      </c>
      <c r="E31" s="20"/>
      <c r="F31" s="20"/>
      <c r="G31" s="20"/>
      <c r="H31" s="20"/>
    </row>
    <row r="32" spans="2:29" s="8" customFormat="1" x14ac:dyDescent="0.2">
      <c r="B32" s="17" t="s">
        <v>183</v>
      </c>
      <c r="C32" s="31">
        <f>AVERAGE(I30:R30)/G30</f>
        <v>0.73363636363636364</v>
      </c>
      <c r="E32" s="21"/>
      <c r="F32" s="21"/>
      <c r="G32" s="21"/>
      <c r="H32" s="21"/>
    </row>
    <row r="33" spans="1:21" x14ac:dyDescent="0.2">
      <c r="I33" s="14"/>
      <c r="J33" s="14"/>
      <c r="K33" s="14"/>
      <c r="L33" s="14"/>
      <c r="M33" s="14"/>
      <c r="N33" s="14"/>
      <c r="O33" s="14"/>
      <c r="P33" s="14"/>
      <c r="Q33" s="14"/>
      <c r="R33" s="14"/>
      <c r="U33" s="13"/>
    </row>
    <row r="34" spans="1:21" x14ac:dyDescent="0.2">
      <c r="I34" s="14"/>
    </row>
    <row r="35" spans="1:21" x14ac:dyDescent="0.2">
      <c r="I35" s="14"/>
    </row>
    <row r="36" spans="1:21" x14ac:dyDescent="0.2">
      <c r="I36" s="14"/>
    </row>
    <row r="37" spans="1:21" x14ac:dyDescent="0.2">
      <c r="I37" s="14"/>
    </row>
    <row r="38" spans="1:21" x14ac:dyDescent="0.2">
      <c r="I38" s="14"/>
    </row>
    <row r="39" spans="1:21" x14ac:dyDescent="0.2">
      <c r="I39" s="14"/>
    </row>
    <row r="40" spans="1:21" x14ac:dyDescent="0.2">
      <c r="I40" s="14"/>
    </row>
    <row r="47" spans="1:21" ht="15" x14ac:dyDescent="0.25">
      <c r="A47"/>
    </row>
    <row r="48" spans="1:21" x14ac:dyDescent="0.2">
      <c r="I48" s="14"/>
      <c r="J48" s="14"/>
      <c r="K48" s="14"/>
      <c r="L48" s="14"/>
      <c r="M48" s="14"/>
      <c r="N48" s="14"/>
      <c r="O48" s="14"/>
      <c r="P48" s="14"/>
      <c r="Q48" s="14"/>
      <c r="R48" s="14"/>
    </row>
    <row r="53" spans="9:18" x14ac:dyDescent="0.2">
      <c r="I53" s="14"/>
      <c r="J53" s="14"/>
      <c r="K53" s="14"/>
      <c r="L53" s="14"/>
      <c r="M53" s="14"/>
      <c r="N53" s="14"/>
      <c r="O53" s="14"/>
      <c r="P53" s="14"/>
      <c r="Q53" s="14"/>
      <c r="R53" s="14"/>
    </row>
    <row r="54" spans="9:18" x14ac:dyDescent="0.2">
      <c r="I54" s="14"/>
      <c r="J54" s="14"/>
      <c r="K54" s="14"/>
      <c r="L54" s="14"/>
      <c r="M54" s="14"/>
      <c r="N54" s="14"/>
      <c r="O54" s="14"/>
      <c r="P54" s="14"/>
      <c r="Q54" s="14"/>
      <c r="R54" s="14"/>
    </row>
    <row r="55" spans="9:18" x14ac:dyDescent="0.2">
      <c r="I55" s="14"/>
      <c r="J55" s="14"/>
      <c r="K55" s="14"/>
      <c r="L55" s="14"/>
      <c r="M55" s="14"/>
      <c r="N55" s="14"/>
      <c r="O55" s="14"/>
      <c r="P55" s="14"/>
      <c r="Q55" s="14"/>
      <c r="R55" s="14"/>
    </row>
    <row r="56" spans="9:18" x14ac:dyDescent="0.2">
      <c r="I56" s="14"/>
      <c r="J56" s="14"/>
      <c r="K56" s="14"/>
      <c r="L56" s="14"/>
      <c r="M56" s="14"/>
      <c r="N56" s="14"/>
      <c r="O56" s="14"/>
      <c r="P56" s="14"/>
      <c r="Q56" s="14"/>
      <c r="R56" s="14"/>
    </row>
    <row r="57" spans="9:18" x14ac:dyDescent="0.2">
      <c r="I57" s="14"/>
      <c r="J57" s="14"/>
      <c r="K57" s="14"/>
      <c r="L57" s="14"/>
      <c r="M57" s="14"/>
      <c r="N57" s="14"/>
      <c r="O57" s="14"/>
      <c r="P57" s="14"/>
      <c r="Q57" s="14"/>
      <c r="R57" s="14"/>
    </row>
    <row r="58" spans="9:18" x14ac:dyDescent="0.2">
      <c r="I58" s="14"/>
      <c r="J58" s="14"/>
      <c r="K58" s="14"/>
      <c r="L58" s="14"/>
      <c r="M58" s="14"/>
      <c r="N58" s="14"/>
      <c r="O58" s="14"/>
      <c r="P58" s="14"/>
      <c r="Q58" s="14"/>
      <c r="R58" s="14"/>
    </row>
    <row r="59" spans="9:18" x14ac:dyDescent="0.2">
      <c r="I59" s="14"/>
      <c r="J59" s="14"/>
      <c r="K59" s="14"/>
      <c r="L59" s="14"/>
      <c r="M59" s="14"/>
      <c r="N59" s="14"/>
      <c r="O59" s="14"/>
      <c r="P59" s="14"/>
      <c r="Q59" s="14"/>
      <c r="R59" s="14"/>
    </row>
    <row r="60" spans="9:18" x14ac:dyDescent="0.2">
      <c r="I60" s="14"/>
      <c r="J60" s="14"/>
      <c r="K60" s="14"/>
      <c r="L60" s="14"/>
      <c r="M60" s="14"/>
      <c r="N60" s="14"/>
      <c r="O60" s="14"/>
      <c r="P60" s="14"/>
      <c r="Q60" s="14"/>
      <c r="R60" s="14"/>
    </row>
    <row r="61" spans="9:18" x14ac:dyDescent="0.2">
      <c r="I61" s="14"/>
      <c r="J61" s="14"/>
      <c r="K61" s="14"/>
      <c r="L61" s="14"/>
      <c r="M61" s="14"/>
      <c r="N61" s="14"/>
      <c r="O61" s="14"/>
      <c r="P61" s="14"/>
      <c r="Q61" s="14"/>
      <c r="R61" s="14"/>
    </row>
    <row r="62" spans="9:18" x14ac:dyDescent="0.2">
      <c r="I62" s="14"/>
      <c r="J62" s="14"/>
      <c r="K62" s="14"/>
      <c r="L62" s="14"/>
      <c r="M62" s="14"/>
      <c r="N62" s="14"/>
      <c r="O62" s="14"/>
      <c r="P62" s="14"/>
      <c r="Q62" s="14"/>
      <c r="R62" s="14"/>
    </row>
    <row r="63" spans="9:18" x14ac:dyDescent="0.2">
      <c r="I63" s="14"/>
      <c r="J63" s="14"/>
      <c r="K63" s="14"/>
      <c r="L63" s="14"/>
      <c r="M63" s="14"/>
      <c r="N63" s="14"/>
      <c r="O63" s="14"/>
      <c r="P63" s="14"/>
      <c r="Q63" s="14"/>
      <c r="R63" s="14"/>
    </row>
    <row r="64" spans="9:18" x14ac:dyDescent="0.2">
      <c r="I64" s="14"/>
      <c r="J64" s="14"/>
      <c r="K64" s="14"/>
      <c r="L64" s="14"/>
      <c r="M64" s="14"/>
      <c r="N64" s="14"/>
      <c r="O64" s="14"/>
      <c r="P64" s="14"/>
      <c r="Q64" s="14"/>
      <c r="R64" s="14"/>
    </row>
    <row r="65" spans="9:18" x14ac:dyDescent="0.2">
      <c r="I65" s="14"/>
      <c r="J65" s="14"/>
      <c r="K65" s="14"/>
      <c r="L65" s="14"/>
      <c r="M65" s="14"/>
      <c r="N65" s="14"/>
      <c r="O65" s="14"/>
      <c r="P65" s="14"/>
      <c r="Q65" s="14"/>
      <c r="R65" s="14"/>
    </row>
  </sheetData>
  <phoneticPr fontId="7" type="noConversion"/>
  <dataValidations xWindow="924" yWindow="446" count="8">
    <dataValidation allowBlank="1" showInputMessage="1" showErrorMessage="1" promptTitle="Stall types" prompt="The number of ADA stalls, 2-hour stalls, etc., within each blockface or lot. Each column represents one type of stall; add or delete columns as necessary." sqref="C1:F1" xr:uid="{90180DB2-837C-4C12-B735-5ED5D967DB62}"/>
    <dataValidation allowBlank="1" showInputMessage="1" showErrorMessage="1" promptTitle="Facility number" prompt="A unique alphanumberic identifier for each blockface or parking lot. This can later be used to join the data with a GID dataset if desired. " sqref="A1" xr:uid="{F4725558-F28E-4666-9BBE-AD49CA87BFE2}"/>
    <dataValidation allowBlank="1" showInputMessage="1" showErrorMessage="1" promptTitle="Description" prompt="Plain-language description of the blockace or parking lot. " sqref="B1" xr:uid="{55D52B1F-3660-4E44-97DF-4C7E202BF9D1}"/>
    <dataValidation allowBlank="1" showInputMessage="1" showErrorMessage="1" promptTitle="Total stalls" prompt="The total number of stalls within the specified blockface or parking lot. This is calculated; ensure that this calculation includes all stall types if additional columns are added. " sqref="G1" xr:uid="{541A8227-97AE-42D5-B420-F1729CE45D13}"/>
    <dataValidation allowBlank="1" showInputMessage="1" showErrorMessage="1" promptTitle="Inventory notes" prompt="A column is reserved for taking notes during data collection." sqref="H1" xr:uid="{8C12D066-CCA5-4270-9E59-DD463B4A8263}"/>
    <dataValidation allowBlank="1" showInputMessage="1" showErrorMessage="1" promptTitle="Hourly occupancy counts" prompt="Counts of the number of vehicles observed to be parked within the blockface or parking lot during each observation period. Add, subtract, or change column headers as needed, noting that you may need to update the calculations to the right accordingly. " sqref="I1:R1" xr:uid="{D7DA5FB0-1ACE-4174-91C4-A92DFB1BEB7D}"/>
    <dataValidation allowBlank="1" showInputMessage="1" showErrorMessage="1" promptTitle="Demand notes" prompt="An additional column is reserved for taking notes during data collection. " sqref="S1" xr:uid="{1389DD35-8BB9-48B0-AD9A-E5DEC90653D1}"/>
    <dataValidation allowBlank="1" showInputMessage="1" showErrorMessage="1" promptTitle="Hourly occupancy percentages" prompt="The percent of parking spaces occupied during each observation. These calculate automatically based on the occupancy and stall counts to the left. Update as needed to match observation times/counts." sqref="T1:AC1" xr:uid="{DEAC735D-5142-43F0-847D-42E2D9D3380D}"/>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DB961-A267-4E56-AD65-5E1E2AE5E423}">
  <dimension ref="A1:AQ38"/>
  <sheetViews>
    <sheetView topLeftCell="B4" workbookViewId="0">
      <selection activeCell="H25" sqref="H25"/>
    </sheetView>
  </sheetViews>
  <sheetFormatPr defaultColWidth="9.140625" defaultRowHeight="12.75" x14ac:dyDescent="0.2"/>
  <cols>
    <col min="1" max="1" width="12.5703125" style="10" customWidth="1"/>
    <col min="2" max="2" width="8.7109375" style="10" customWidth="1"/>
    <col min="3" max="3" width="29.5703125" style="10" customWidth="1"/>
    <col min="4" max="4" width="10.5703125" style="10" customWidth="1"/>
    <col min="5" max="6" width="8.85546875" style="12" customWidth="1"/>
    <col min="7" max="7" width="13.28515625" style="12" customWidth="1"/>
    <col min="8" max="9" width="9.5703125" style="10" bestFit="1" customWidth="1"/>
    <col min="10" max="10" width="9.7109375" style="10" bestFit="1" customWidth="1"/>
    <col min="11" max="17" width="9.28515625" style="10" bestFit="1" customWidth="1"/>
    <col min="18" max="18" width="15.28515625" style="10" customWidth="1"/>
    <col min="19" max="19" width="14.28515625" style="10" customWidth="1"/>
    <col min="20" max="20" width="9.42578125" style="10" customWidth="1"/>
    <col min="21" max="21" width="12.85546875" style="10" customWidth="1"/>
    <col min="22" max="31" width="6.85546875" style="10" customWidth="1"/>
    <col min="32" max="32" width="12.42578125" style="10" customWidth="1"/>
    <col min="33" max="33" width="13" style="10" customWidth="1"/>
    <col min="34" max="40" width="6.85546875" style="10" customWidth="1"/>
    <col min="41" max="16384" width="9.140625" style="10"/>
  </cols>
  <sheetData>
    <row r="1" spans="1:43" s="8" customFormat="1" x14ac:dyDescent="0.2">
      <c r="A1" s="8" t="s">
        <v>11</v>
      </c>
      <c r="B1" s="8" t="s">
        <v>12</v>
      </c>
      <c r="C1" s="8" t="s">
        <v>13</v>
      </c>
      <c r="D1" s="8" t="s">
        <v>14</v>
      </c>
      <c r="E1" s="8" t="s">
        <v>15</v>
      </c>
      <c r="F1" s="8" t="s">
        <v>16</v>
      </c>
      <c r="G1" s="8" t="s">
        <v>17</v>
      </c>
      <c r="H1" s="9" t="s">
        <v>18</v>
      </c>
      <c r="I1" s="9" t="s">
        <v>19</v>
      </c>
      <c r="J1" s="9" t="s">
        <v>20</v>
      </c>
      <c r="K1" s="9" t="s">
        <v>21</v>
      </c>
      <c r="L1" s="9" t="s">
        <v>22</v>
      </c>
      <c r="M1" s="9" t="s">
        <v>23</v>
      </c>
      <c r="N1" s="9" t="s">
        <v>164</v>
      </c>
      <c r="O1" s="9" t="s">
        <v>165</v>
      </c>
      <c r="P1" s="9" t="s">
        <v>166</v>
      </c>
      <c r="Q1" s="9" t="s">
        <v>167</v>
      </c>
      <c r="R1" s="8" t="s">
        <v>24</v>
      </c>
      <c r="S1" s="8" t="s">
        <v>25</v>
      </c>
      <c r="T1" s="8" t="s">
        <v>26</v>
      </c>
      <c r="U1" s="8" t="s">
        <v>27</v>
      </c>
      <c r="V1" s="8" t="s">
        <v>28</v>
      </c>
      <c r="W1" s="8" t="s">
        <v>29</v>
      </c>
      <c r="X1" s="8" t="s">
        <v>30</v>
      </c>
      <c r="Y1" s="8" t="s">
        <v>31</v>
      </c>
      <c r="Z1" s="8" t="s">
        <v>32</v>
      </c>
      <c r="AA1" s="8" t="s">
        <v>33</v>
      </c>
      <c r="AB1" s="8" t="s">
        <v>34</v>
      </c>
      <c r="AC1" s="8" t="s">
        <v>35</v>
      </c>
      <c r="AD1" s="8" t="s">
        <v>36</v>
      </c>
      <c r="AF1" s="8" t="s">
        <v>37</v>
      </c>
      <c r="AG1" s="8">
        <v>0</v>
      </c>
      <c r="AH1" s="8">
        <v>1</v>
      </c>
      <c r="AI1" s="8">
        <v>2</v>
      </c>
      <c r="AJ1" s="8">
        <v>3</v>
      </c>
      <c r="AK1" s="8">
        <v>4</v>
      </c>
      <c r="AL1" s="8">
        <v>5</v>
      </c>
      <c r="AM1" s="8">
        <v>6</v>
      </c>
      <c r="AN1" s="8">
        <v>7</v>
      </c>
      <c r="AO1" s="8">
        <v>8</v>
      </c>
      <c r="AP1" s="8">
        <v>9</v>
      </c>
      <c r="AQ1" s="8">
        <v>10</v>
      </c>
    </row>
    <row r="2" spans="1:43" x14ac:dyDescent="0.2">
      <c r="A2" s="10" t="s">
        <v>199</v>
      </c>
      <c r="B2" s="10">
        <v>1</v>
      </c>
      <c r="C2" s="10" t="s">
        <v>38</v>
      </c>
      <c r="D2" s="10" t="s">
        <v>39</v>
      </c>
      <c r="E2" s="10" t="s">
        <v>40</v>
      </c>
      <c r="F2" s="10" t="s">
        <v>40</v>
      </c>
      <c r="G2" s="10"/>
      <c r="H2" s="11"/>
      <c r="I2" s="11" t="s">
        <v>41</v>
      </c>
      <c r="J2" s="11" t="s">
        <v>41</v>
      </c>
      <c r="K2" s="11" t="s">
        <v>42</v>
      </c>
      <c r="L2" s="11" t="s">
        <v>42</v>
      </c>
      <c r="M2" s="11" t="s">
        <v>42</v>
      </c>
      <c r="N2" s="11" t="s">
        <v>42</v>
      </c>
      <c r="O2" s="11" t="s">
        <v>42</v>
      </c>
      <c r="P2" s="11"/>
      <c r="Q2" s="11"/>
      <c r="S2" s="10" cm="1">
        <f t="array" ref="S2">SUMPRODUCT(--(LEN(_xlfn.UNIQUE(H2:Q2,TRUE))&gt;1))</f>
        <v>2</v>
      </c>
      <c r="T2" s="10">
        <f t="shared" ref="T2:T30" si="0">10-SUMPRODUCT(U2:AD2,$AH$1:$AQ$1)</f>
        <v>3</v>
      </c>
      <c r="U2" s="10">
        <f t="shared" ref="U2:AD27" si="1">COUNTIF($AG2:$AP2,AH$1)</f>
        <v>0</v>
      </c>
      <c r="V2" s="10">
        <f t="shared" si="1"/>
        <v>1</v>
      </c>
      <c r="W2" s="10">
        <f t="shared" si="1"/>
        <v>0</v>
      </c>
      <c r="X2" s="10">
        <f t="shared" si="1"/>
        <v>0</v>
      </c>
      <c r="Y2" s="10">
        <f t="shared" si="1"/>
        <v>1</v>
      </c>
      <c r="Z2" s="10">
        <f t="shared" si="1"/>
        <v>0</v>
      </c>
      <c r="AA2" s="10">
        <f t="shared" si="1"/>
        <v>0</v>
      </c>
      <c r="AB2" s="10">
        <f t="shared" si="1"/>
        <v>0</v>
      </c>
      <c r="AC2" s="10">
        <f t="shared" si="1"/>
        <v>0</v>
      </c>
      <c r="AD2" s="10">
        <f t="shared" si="1"/>
        <v>0</v>
      </c>
      <c r="AF2" s="29">
        <f t="shared" ref="AF2:AF30" si="2">IF(S2=0,"",SUM(W2:AD2)/S2)</f>
        <v>0.5</v>
      </c>
      <c r="AG2" s="10" cm="1">
        <f t="array" ref="AG2:AI2">COUNTIF(H2:Q2,_xlfn.UNIQUE(H2:Q2,TRUE))</f>
        <v>0</v>
      </c>
      <c r="AH2" s="10">
        <v>2</v>
      </c>
      <c r="AI2" s="10">
        <v>5</v>
      </c>
    </row>
    <row r="3" spans="1:43" x14ac:dyDescent="0.2">
      <c r="A3" s="10" t="s">
        <v>199</v>
      </c>
      <c r="B3" s="10">
        <f t="shared" ref="B3:B30" si="3">IF(A3=A2,B2+1,1)</f>
        <v>2</v>
      </c>
      <c r="C3" s="10" t="s">
        <v>38</v>
      </c>
      <c r="D3" s="10" t="s">
        <v>39</v>
      </c>
      <c r="E3" s="10" t="s">
        <v>40</v>
      </c>
      <c r="F3" s="10" t="s">
        <v>40</v>
      </c>
      <c r="G3" s="10"/>
      <c r="H3" s="11"/>
      <c r="I3" s="11" t="s">
        <v>43</v>
      </c>
      <c r="J3" s="11" t="s">
        <v>43</v>
      </c>
      <c r="K3" s="11" t="s">
        <v>43</v>
      </c>
      <c r="L3" s="11" t="s">
        <v>43</v>
      </c>
      <c r="M3" s="11" t="s">
        <v>43</v>
      </c>
      <c r="N3" s="11" t="s">
        <v>43</v>
      </c>
      <c r="O3" s="11" t="s">
        <v>43</v>
      </c>
      <c r="P3" s="11" t="s">
        <v>43</v>
      </c>
      <c r="Q3" s="11"/>
      <c r="S3" s="10" cm="1">
        <f t="array" ref="S3">SUMPRODUCT(--(LEN(_xlfn.UNIQUE(H3:Q3,TRUE))&gt;1))</f>
        <v>1</v>
      </c>
      <c r="T3" s="10">
        <f t="shared" si="0"/>
        <v>2</v>
      </c>
      <c r="U3" s="10">
        <f t="shared" si="1"/>
        <v>0</v>
      </c>
      <c r="V3" s="10">
        <f t="shared" si="1"/>
        <v>0</v>
      </c>
      <c r="W3" s="10">
        <f t="shared" si="1"/>
        <v>0</v>
      </c>
      <c r="X3" s="10">
        <f t="shared" si="1"/>
        <v>0</v>
      </c>
      <c r="Y3" s="10">
        <f t="shared" si="1"/>
        <v>0</v>
      </c>
      <c r="Z3" s="10">
        <f t="shared" si="1"/>
        <v>0</v>
      </c>
      <c r="AA3" s="10">
        <f t="shared" si="1"/>
        <v>0</v>
      </c>
      <c r="AB3" s="10">
        <f t="shared" si="1"/>
        <v>1</v>
      </c>
      <c r="AC3" s="10">
        <f t="shared" si="1"/>
        <v>0</v>
      </c>
      <c r="AD3" s="10">
        <f t="shared" si="1"/>
        <v>0</v>
      </c>
      <c r="AF3" s="29">
        <f t="shared" si="2"/>
        <v>1</v>
      </c>
      <c r="AG3" s="10" cm="1">
        <f t="array" ref="AG3:AH3">COUNTIF(H3:Q3,_xlfn.UNIQUE(H3:Q3,TRUE))</f>
        <v>0</v>
      </c>
      <c r="AH3" s="10">
        <v>8</v>
      </c>
    </row>
    <row r="4" spans="1:43" x14ac:dyDescent="0.2">
      <c r="A4" s="10" t="s">
        <v>199</v>
      </c>
      <c r="B4" s="10">
        <f t="shared" si="3"/>
        <v>3</v>
      </c>
      <c r="C4" s="10" t="s">
        <v>38</v>
      </c>
      <c r="D4" s="10" t="s">
        <v>39</v>
      </c>
      <c r="E4" s="10" t="s">
        <v>40</v>
      </c>
      <c r="F4" s="10" t="s">
        <v>40</v>
      </c>
      <c r="G4" s="10"/>
      <c r="J4" s="11" t="s">
        <v>44</v>
      </c>
      <c r="K4" s="11"/>
      <c r="L4" s="11"/>
      <c r="M4" s="11"/>
      <c r="N4" s="11"/>
      <c r="O4" s="11"/>
      <c r="P4" s="11"/>
      <c r="Q4" s="11"/>
      <c r="S4" s="10" cm="1">
        <f t="array" ref="S4">SUMPRODUCT(--(LEN(_xlfn.UNIQUE(H4:Q4,TRUE))&gt;1))</f>
        <v>1</v>
      </c>
      <c r="T4" s="10">
        <f t="shared" si="0"/>
        <v>9</v>
      </c>
      <c r="U4" s="10">
        <f t="shared" si="1"/>
        <v>1</v>
      </c>
      <c r="V4" s="10">
        <f t="shared" si="1"/>
        <v>0</v>
      </c>
      <c r="W4" s="10">
        <f t="shared" si="1"/>
        <v>0</v>
      </c>
      <c r="X4" s="10">
        <f t="shared" si="1"/>
        <v>0</v>
      </c>
      <c r="Y4" s="10">
        <f t="shared" si="1"/>
        <v>0</v>
      </c>
      <c r="Z4" s="10">
        <f t="shared" si="1"/>
        <v>0</v>
      </c>
      <c r="AA4" s="10">
        <f t="shared" si="1"/>
        <v>0</v>
      </c>
      <c r="AB4" s="10">
        <f t="shared" si="1"/>
        <v>0</v>
      </c>
      <c r="AC4" s="10">
        <f t="shared" si="1"/>
        <v>0</v>
      </c>
      <c r="AD4" s="10">
        <f t="shared" si="1"/>
        <v>0</v>
      </c>
      <c r="AF4" s="29">
        <f t="shared" si="2"/>
        <v>0</v>
      </c>
      <c r="AG4" s="10" cm="1">
        <f t="array" ref="AG4:AH4">COUNTIF(H4:Q4,_xlfn.UNIQUE(H4:Q4,TRUE))</f>
        <v>0</v>
      </c>
      <c r="AH4" s="10">
        <v>1</v>
      </c>
    </row>
    <row r="5" spans="1:43" x14ac:dyDescent="0.2">
      <c r="A5" s="10" t="s">
        <v>199</v>
      </c>
      <c r="B5" s="10">
        <f t="shared" si="3"/>
        <v>4</v>
      </c>
      <c r="C5" s="10" t="s">
        <v>38</v>
      </c>
      <c r="D5" s="10" t="s">
        <v>39</v>
      </c>
      <c r="E5" s="10" t="s">
        <v>40</v>
      </c>
      <c r="F5" s="10" t="s">
        <v>40</v>
      </c>
      <c r="G5" s="10"/>
      <c r="H5" s="11" t="s">
        <v>45</v>
      </c>
      <c r="I5" s="11" t="s">
        <v>45</v>
      </c>
      <c r="J5" s="11" t="s">
        <v>45</v>
      </c>
      <c r="K5" s="11" t="s">
        <v>45</v>
      </c>
      <c r="L5" s="11" t="s">
        <v>45</v>
      </c>
      <c r="M5" s="11" t="s">
        <v>45</v>
      </c>
      <c r="N5" s="11" t="s">
        <v>45</v>
      </c>
      <c r="O5" s="11" t="s">
        <v>45</v>
      </c>
      <c r="P5" s="11" t="s">
        <v>45</v>
      </c>
      <c r="Q5" s="11" t="s">
        <v>45</v>
      </c>
      <c r="S5" s="10" cm="1">
        <f t="array" ref="S5">SUMPRODUCT(--(LEN(_xlfn.UNIQUE(H5:Q5,TRUE))&gt;1))</f>
        <v>1</v>
      </c>
      <c r="T5" s="10">
        <f t="shared" si="0"/>
        <v>0</v>
      </c>
      <c r="U5" s="10">
        <f t="shared" si="1"/>
        <v>0</v>
      </c>
      <c r="V5" s="10">
        <f t="shared" si="1"/>
        <v>0</v>
      </c>
      <c r="W5" s="10">
        <f t="shared" si="1"/>
        <v>0</v>
      </c>
      <c r="X5" s="10">
        <f t="shared" si="1"/>
        <v>0</v>
      </c>
      <c r="Y5" s="10">
        <f t="shared" si="1"/>
        <v>0</v>
      </c>
      <c r="Z5" s="10">
        <f t="shared" si="1"/>
        <v>0</v>
      </c>
      <c r="AA5" s="10">
        <f t="shared" si="1"/>
        <v>0</v>
      </c>
      <c r="AB5" s="10">
        <f t="shared" si="1"/>
        <v>0</v>
      </c>
      <c r="AC5" s="10">
        <f t="shared" si="1"/>
        <v>0</v>
      </c>
      <c r="AD5" s="10">
        <f t="shared" si="1"/>
        <v>1</v>
      </c>
      <c r="AF5" s="29">
        <f t="shared" si="2"/>
        <v>1</v>
      </c>
      <c r="AG5" s="10" cm="1">
        <f t="array" ref="AG5">COUNTIF(H5:Q5,_xlfn.UNIQUE(H5:Q5,TRUE))</f>
        <v>10</v>
      </c>
    </row>
    <row r="6" spans="1:43" x14ac:dyDescent="0.2">
      <c r="A6" s="10" t="s">
        <v>199</v>
      </c>
      <c r="B6" s="10">
        <f t="shared" si="3"/>
        <v>5</v>
      </c>
      <c r="C6" s="10" t="s">
        <v>38</v>
      </c>
      <c r="D6" s="10" t="s">
        <v>39</v>
      </c>
      <c r="E6" s="10" t="s">
        <v>40</v>
      </c>
      <c r="F6" s="10" t="s">
        <v>40</v>
      </c>
      <c r="G6" s="10"/>
      <c r="H6" s="11" t="s">
        <v>46</v>
      </c>
      <c r="I6" s="11"/>
      <c r="J6" s="11">
        <v>4002</v>
      </c>
      <c r="K6" s="11">
        <v>4002</v>
      </c>
      <c r="L6" s="11"/>
      <c r="M6" s="11" t="s">
        <v>47</v>
      </c>
      <c r="N6" s="11" t="s">
        <v>48</v>
      </c>
      <c r="O6" s="11" t="s">
        <v>48</v>
      </c>
      <c r="P6" s="11" t="s">
        <v>48</v>
      </c>
      <c r="Q6" s="11" t="s">
        <v>48</v>
      </c>
      <c r="S6" s="10" cm="1">
        <f t="array" ref="S6">SUMPRODUCT(--(LEN(_xlfn.UNIQUE(H6:Q6,TRUE))&gt;1))</f>
        <v>4</v>
      </c>
      <c r="T6" s="10">
        <f t="shared" si="0"/>
        <v>2</v>
      </c>
      <c r="U6" s="10">
        <f t="shared" si="1"/>
        <v>2</v>
      </c>
      <c r="V6" s="10">
        <f t="shared" si="1"/>
        <v>1</v>
      </c>
      <c r="W6" s="10">
        <f t="shared" si="1"/>
        <v>0</v>
      </c>
      <c r="X6" s="10">
        <f t="shared" si="1"/>
        <v>1</v>
      </c>
      <c r="Y6" s="10">
        <f t="shared" si="1"/>
        <v>0</v>
      </c>
      <c r="Z6" s="10">
        <f t="shared" si="1"/>
        <v>0</v>
      </c>
      <c r="AA6" s="10">
        <f t="shared" si="1"/>
        <v>0</v>
      </c>
      <c r="AB6" s="10">
        <f t="shared" si="1"/>
        <v>0</v>
      </c>
      <c r="AC6" s="10">
        <f t="shared" si="1"/>
        <v>0</v>
      </c>
      <c r="AD6" s="10">
        <f t="shared" si="1"/>
        <v>0</v>
      </c>
      <c r="AF6" s="29">
        <f t="shared" si="2"/>
        <v>0.25</v>
      </c>
      <c r="AG6" s="10" cm="1">
        <f t="array" ref="AG6:AK6">COUNTIF(H6:Q6,_xlfn.UNIQUE(H6:Q6,TRUE))</f>
        <v>1</v>
      </c>
      <c r="AH6" s="10">
        <v>0</v>
      </c>
      <c r="AI6" s="10">
        <v>2</v>
      </c>
      <c r="AJ6" s="10">
        <v>1</v>
      </c>
      <c r="AK6" s="10">
        <v>4</v>
      </c>
    </row>
    <row r="7" spans="1:43" x14ac:dyDescent="0.2">
      <c r="A7" s="10" t="s">
        <v>200</v>
      </c>
      <c r="B7" s="10">
        <f t="shared" si="3"/>
        <v>1</v>
      </c>
      <c r="C7" s="10" t="s">
        <v>49</v>
      </c>
      <c r="D7" s="10" t="s">
        <v>50</v>
      </c>
      <c r="E7" s="10" t="s">
        <v>51</v>
      </c>
      <c r="F7" s="10" t="s">
        <v>51</v>
      </c>
      <c r="G7" s="10"/>
      <c r="H7" s="11" t="s">
        <v>52</v>
      </c>
      <c r="I7" s="11">
        <v>3445</v>
      </c>
      <c r="J7" s="11"/>
      <c r="K7" s="11" t="s">
        <v>53</v>
      </c>
      <c r="L7" s="11" t="s">
        <v>54</v>
      </c>
      <c r="M7" s="11"/>
      <c r="N7" s="11" t="s">
        <v>55</v>
      </c>
      <c r="O7" s="11" t="s">
        <v>55</v>
      </c>
      <c r="P7" s="11" t="s">
        <v>55</v>
      </c>
      <c r="Q7" s="11"/>
      <c r="S7" s="10" cm="1">
        <f t="array" ref="S7">SUMPRODUCT(--(LEN(_xlfn.UNIQUE(H7:Q7,TRUE))&gt;1))</f>
        <v>5</v>
      </c>
      <c r="T7" s="10">
        <f t="shared" si="0"/>
        <v>3</v>
      </c>
      <c r="U7" s="10">
        <f t="shared" si="1"/>
        <v>4</v>
      </c>
      <c r="V7" s="10">
        <f t="shared" si="1"/>
        <v>0</v>
      </c>
      <c r="W7" s="10">
        <f t="shared" si="1"/>
        <v>1</v>
      </c>
      <c r="X7" s="10">
        <f t="shared" si="1"/>
        <v>0</v>
      </c>
      <c r="Y7" s="10">
        <f t="shared" si="1"/>
        <v>0</v>
      </c>
      <c r="Z7" s="10">
        <f t="shared" si="1"/>
        <v>0</v>
      </c>
      <c r="AA7" s="10">
        <f t="shared" si="1"/>
        <v>0</v>
      </c>
      <c r="AB7" s="10">
        <f t="shared" si="1"/>
        <v>0</v>
      </c>
      <c r="AC7" s="10">
        <f t="shared" si="1"/>
        <v>0</v>
      </c>
      <c r="AD7" s="10">
        <f t="shared" si="1"/>
        <v>0</v>
      </c>
      <c r="AF7" s="29">
        <f t="shared" si="2"/>
        <v>0.2</v>
      </c>
      <c r="AG7" s="10" cm="1">
        <f t="array" ref="AG7:AL7">COUNTIF(H7:Q7,_xlfn.UNIQUE(H7:Q7,TRUE))</f>
        <v>1</v>
      </c>
      <c r="AH7" s="10">
        <v>1</v>
      </c>
      <c r="AI7" s="10">
        <v>0</v>
      </c>
      <c r="AJ7" s="10">
        <v>1</v>
      </c>
      <c r="AK7" s="10">
        <v>1</v>
      </c>
      <c r="AL7" s="10">
        <v>3</v>
      </c>
    </row>
    <row r="8" spans="1:43" x14ac:dyDescent="0.2">
      <c r="A8" s="10" t="s">
        <v>200</v>
      </c>
      <c r="B8" s="10">
        <f t="shared" si="3"/>
        <v>2</v>
      </c>
      <c r="C8" s="10" t="s">
        <v>49</v>
      </c>
      <c r="D8" s="10" t="s">
        <v>50</v>
      </c>
      <c r="E8" s="10" t="s">
        <v>51</v>
      </c>
      <c r="F8" s="10" t="s">
        <v>51</v>
      </c>
      <c r="G8" s="10"/>
      <c r="H8" s="11" t="s">
        <v>56</v>
      </c>
      <c r="I8" s="11" t="s">
        <v>57</v>
      </c>
      <c r="J8" s="11" t="s">
        <v>58</v>
      </c>
      <c r="K8" s="11">
        <v>5726</v>
      </c>
      <c r="L8" s="11"/>
      <c r="M8" s="11">
        <v>4128</v>
      </c>
      <c r="N8" s="11">
        <v>4128</v>
      </c>
      <c r="O8" s="11">
        <v>4128</v>
      </c>
      <c r="P8" s="11">
        <v>4128</v>
      </c>
      <c r="Q8" s="11">
        <v>4128</v>
      </c>
      <c r="S8" s="10" cm="1">
        <f t="array" ref="S8">SUMPRODUCT(--(LEN(_xlfn.UNIQUE(H8:Q8,TRUE))&gt;1))</f>
        <v>5</v>
      </c>
      <c r="T8" s="10">
        <f t="shared" si="0"/>
        <v>1</v>
      </c>
      <c r="U8" s="10">
        <f t="shared" si="1"/>
        <v>4</v>
      </c>
      <c r="V8" s="10">
        <f t="shared" si="1"/>
        <v>0</v>
      </c>
      <c r="W8" s="10">
        <f t="shared" si="1"/>
        <v>0</v>
      </c>
      <c r="X8" s="10">
        <f t="shared" si="1"/>
        <v>0</v>
      </c>
      <c r="Y8" s="10">
        <f t="shared" si="1"/>
        <v>1</v>
      </c>
      <c r="Z8" s="10">
        <f t="shared" si="1"/>
        <v>0</v>
      </c>
      <c r="AA8" s="10">
        <f t="shared" si="1"/>
        <v>0</v>
      </c>
      <c r="AB8" s="10">
        <f t="shared" si="1"/>
        <v>0</v>
      </c>
      <c r="AC8" s="10">
        <f t="shared" si="1"/>
        <v>0</v>
      </c>
      <c r="AD8" s="10">
        <f t="shared" si="1"/>
        <v>0</v>
      </c>
      <c r="AF8" s="29">
        <f t="shared" si="2"/>
        <v>0.2</v>
      </c>
      <c r="AG8" s="10" cm="1">
        <f t="array" ref="AG8:AL8">COUNTIF(H8:Q8,_xlfn.UNIQUE(H8:Q8,TRUE))</f>
        <v>1</v>
      </c>
      <c r="AH8" s="10">
        <v>1</v>
      </c>
      <c r="AI8" s="10">
        <v>1</v>
      </c>
      <c r="AJ8" s="10">
        <v>1</v>
      </c>
      <c r="AK8" s="10">
        <v>0</v>
      </c>
      <c r="AL8" s="10">
        <v>5</v>
      </c>
    </row>
    <row r="9" spans="1:43" x14ac:dyDescent="0.2">
      <c r="A9" s="10" t="s">
        <v>200</v>
      </c>
      <c r="B9" s="10">
        <f t="shared" si="3"/>
        <v>3</v>
      </c>
      <c r="C9" s="10" t="s">
        <v>49</v>
      </c>
      <c r="D9" s="10" t="s">
        <v>39</v>
      </c>
      <c r="E9" s="10" t="s">
        <v>51</v>
      </c>
      <c r="F9" s="10" t="s">
        <v>51</v>
      </c>
      <c r="G9" s="10"/>
      <c r="H9" s="11" t="s">
        <v>54</v>
      </c>
      <c r="I9" s="11" t="s">
        <v>54</v>
      </c>
      <c r="J9" s="11" t="s">
        <v>54</v>
      </c>
      <c r="K9" s="11" t="s">
        <v>54</v>
      </c>
      <c r="L9" s="11" t="s">
        <v>59</v>
      </c>
      <c r="M9" s="11"/>
      <c r="N9" s="11" t="s">
        <v>54</v>
      </c>
      <c r="O9" s="11" t="s">
        <v>54</v>
      </c>
      <c r="P9" s="11" t="s">
        <v>60</v>
      </c>
      <c r="Q9" s="11"/>
      <c r="S9" s="10" cm="1">
        <f t="array" ref="S9">SUMPRODUCT(--(LEN(_xlfn.UNIQUE(H9:Q9,TRUE))&gt;1))</f>
        <v>3</v>
      </c>
      <c r="T9" s="10">
        <f t="shared" si="0"/>
        <v>2</v>
      </c>
      <c r="U9" s="10">
        <f t="shared" si="1"/>
        <v>2</v>
      </c>
      <c r="V9" s="10">
        <f t="shared" si="1"/>
        <v>0</v>
      </c>
      <c r="W9" s="10">
        <f t="shared" si="1"/>
        <v>0</v>
      </c>
      <c r="X9" s="10">
        <f t="shared" si="1"/>
        <v>0</v>
      </c>
      <c r="Y9" s="10">
        <f t="shared" si="1"/>
        <v>0</v>
      </c>
      <c r="Z9" s="10">
        <f t="shared" si="1"/>
        <v>1</v>
      </c>
      <c r="AA9" s="10">
        <f t="shared" si="1"/>
        <v>0</v>
      </c>
      <c r="AB9" s="10">
        <f t="shared" si="1"/>
        <v>0</v>
      </c>
      <c r="AC9" s="10">
        <f t="shared" si="1"/>
        <v>0</v>
      </c>
      <c r="AD9" s="10">
        <f t="shared" si="1"/>
        <v>0</v>
      </c>
      <c r="AF9" s="29">
        <f t="shared" si="2"/>
        <v>0.33333333333333331</v>
      </c>
      <c r="AG9" s="10" cm="1">
        <f t="array" ref="AG9:AJ9">COUNTIF(H9:Q9,_xlfn.UNIQUE(H9:Q9,TRUE))</f>
        <v>6</v>
      </c>
      <c r="AH9" s="10">
        <v>1</v>
      </c>
      <c r="AI9" s="10">
        <v>0</v>
      </c>
      <c r="AJ9" s="10">
        <v>1</v>
      </c>
    </row>
    <row r="10" spans="1:43" x14ac:dyDescent="0.2">
      <c r="A10" s="10" t="s">
        <v>200</v>
      </c>
      <c r="B10" s="10">
        <f t="shared" si="3"/>
        <v>4</v>
      </c>
      <c r="C10" s="10" t="s">
        <v>49</v>
      </c>
      <c r="D10" s="10" t="s">
        <v>39</v>
      </c>
      <c r="E10" s="10" t="s">
        <v>51</v>
      </c>
      <c r="F10" s="10" t="s">
        <v>51</v>
      </c>
      <c r="G10" s="10"/>
      <c r="H10" s="11" t="s">
        <v>61</v>
      </c>
      <c r="I10" s="11" t="s">
        <v>61</v>
      </c>
      <c r="J10" s="11" t="s">
        <v>61</v>
      </c>
      <c r="K10" s="11" t="s">
        <v>62</v>
      </c>
      <c r="L10" s="11"/>
      <c r="M10" s="11"/>
      <c r="N10" s="11">
        <v>2949</v>
      </c>
      <c r="O10" s="11" t="s">
        <v>63</v>
      </c>
      <c r="P10" s="11" t="s">
        <v>64</v>
      </c>
      <c r="Q10" s="11" t="s">
        <v>64</v>
      </c>
      <c r="S10" s="10" cm="1">
        <f t="array" ref="S10">SUMPRODUCT(--(LEN(_xlfn.UNIQUE(H10:Q10,TRUE))&gt;1))</f>
        <v>5</v>
      </c>
      <c r="T10" s="10">
        <f t="shared" si="0"/>
        <v>2</v>
      </c>
      <c r="U10" s="10">
        <f t="shared" si="1"/>
        <v>3</v>
      </c>
      <c r="V10" s="10">
        <f t="shared" si="1"/>
        <v>1</v>
      </c>
      <c r="W10" s="10">
        <f t="shared" si="1"/>
        <v>1</v>
      </c>
      <c r="X10" s="10">
        <f t="shared" si="1"/>
        <v>0</v>
      </c>
      <c r="Y10" s="10">
        <f t="shared" si="1"/>
        <v>0</v>
      </c>
      <c r="Z10" s="10">
        <f t="shared" si="1"/>
        <v>0</v>
      </c>
      <c r="AA10" s="10">
        <f t="shared" si="1"/>
        <v>0</v>
      </c>
      <c r="AB10" s="10">
        <f t="shared" si="1"/>
        <v>0</v>
      </c>
      <c r="AC10" s="10">
        <f t="shared" si="1"/>
        <v>0</v>
      </c>
      <c r="AD10" s="10">
        <f t="shared" si="1"/>
        <v>0</v>
      </c>
      <c r="AF10" s="29">
        <f t="shared" si="2"/>
        <v>0.2</v>
      </c>
      <c r="AG10" s="10" cm="1">
        <f t="array" ref="AG10:AL10">COUNTIF(H10:Q10,_xlfn.UNIQUE(H10:Q10,TRUE))</f>
        <v>3</v>
      </c>
      <c r="AH10" s="10">
        <v>1</v>
      </c>
      <c r="AI10" s="10">
        <v>0</v>
      </c>
      <c r="AJ10" s="10">
        <v>1</v>
      </c>
      <c r="AK10" s="10">
        <v>1</v>
      </c>
      <c r="AL10" s="10">
        <v>2</v>
      </c>
    </row>
    <row r="11" spans="1:43" x14ac:dyDescent="0.2">
      <c r="A11" s="10" t="s">
        <v>200</v>
      </c>
      <c r="B11" s="10">
        <f t="shared" si="3"/>
        <v>5</v>
      </c>
      <c r="C11" s="10" t="s">
        <v>49</v>
      </c>
      <c r="D11" s="10" t="s">
        <v>39</v>
      </c>
      <c r="E11" s="10" t="s">
        <v>51</v>
      </c>
      <c r="F11" s="10" t="s">
        <v>51</v>
      </c>
      <c r="G11" s="10"/>
      <c r="H11" s="11" t="s">
        <v>65</v>
      </c>
      <c r="I11" s="11" t="s">
        <v>65</v>
      </c>
      <c r="J11" s="11" t="s">
        <v>66</v>
      </c>
      <c r="K11" s="11" t="s">
        <v>67</v>
      </c>
      <c r="L11" s="11"/>
      <c r="M11" s="11" t="s">
        <v>68</v>
      </c>
      <c r="N11" s="11"/>
      <c r="O11" s="11" t="s">
        <v>69</v>
      </c>
      <c r="P11" s="11">
        <v>718</v>
      </c>
      <c r="Q11" s="11">
        <v>718</v>
      </c>
      <c r="S11" s="10" cm="1">
        <f t="array" ref="S11">SUMPRODUCT(--(LEN(_xlfn.UNIQUE(H11:Q11,TRUE))&gt;1))</f>
        <v>6</v>
      </c>
      <c r="T11" s="10">
        <f t="shared" si="0"/>
        <v>2</v>
      </c>
      <c r="U11" s="10">
        <f t="shared" si="1"/>
        <v>4</v>
      </c>
      <c r="V11" s="10">
        <f t="shared" si="1"/>
        <v>2</v>
      </c>
      <c r="W11" s="10">
        <f t="shared" si="1"/>
        <v>0</v>
      </c>
      <c r="X11" s="10">
        <f t="shared" si="1"/>
        <v>0</v>
      </c>
      <c r="Y11" s="10">
        <f t="shared" si="1"/>
        <v>0</v>
      </c>
      <c r="Z11" s="10">
        <f t="shared" si="1"/>
        <v>0</v>
      </c>
      <c r="AA11" s="10">
        <f t="shared" si="1"/>
        <v>0</v>
      </c>
      <c r="AB11" s="10">
        <f t="shared" si="1"/>
        <v>0</v>
      </c>
      <c r="AC11" s="10">
        <f t="shared" si="1"/>
        <v>0</v>
      </c>
      <c r="AD11" s="10">
        <f t="shared" si="1"/>
        <v>0</v>
      </c>
      <c r="AF11" s="29">
        <f t="shared" si="2"/>
        <v>0</v>
      </c>
      <c r="AG11" s="10" cm="1">
        <f t="array" ref="AG11:AM11">COUNTIF(H11:Q11,_xlfn.UNIQUE(H11:Q11,TRUE))</f>
        <v>2</v>
      </c>
      <c r="AH11" s="10">
        <v>1</v>
      </c>
      <c r="AI11" s="10">
        <v>1</v>
      </c>
      <c r="AJ11" s="10">
        <v>0</v>
      </c>
      <c r="AK11" s="10">
        <v>1</v>
      </c>
      <c r="AL11" s="10">
        <v>1</v>
      </c>
      <c r="AM11" s="10">
        <v>2</v>
      </c>
    </row>
    <row r="12" spans="1:43" x14ac:dyDescent="0.2">
      <c r="A12" s="10" t="s">
        <v>200</v>
      </c>
      <c r="B12" s="10">
        <f t="shared" si="3"/>
        <v>6</v>
      </c>
      <c r="C12" s="10" t="s">
        <v>49</v>
      </c>
      <c r="D12" s="10" t="s">
        <v>39</v>
      </c>
      <c r="E12" s="10" t="s">
        <v>51</v>
      </c>
      <c r="F12" s="10" t="s">
        <v>51</v>
      </c>
      <c r="G12" s="10"/>
      <c r="H12" s="11" t="s">
        <v>70</v>
      </c>
      <c r="I12" s="11" t="s">
        <v>70</v>
      </c>
      <c r="J12" s="11" t="s">
        <v>70</v>
      </c>
      <c r="K12" s="11" t="s">
        <v>70</v>
      </c>
      <c r="L12" s="11"/>
      <c r="M12" s="11" t="s">
        <v>71</v>
      </c>
      <c r="N12" s="11" t="s">
        <v>70</v>
      </c>
      <c r="O12" s="11" t="s">
        <v>70</v>
      </c>
      <c r="P12" s="11" t="s">
        <v>70</v>
      </c>
      <c r="Q12" s="11" t="s">
        <v>70</v>
      </c>
      <c r="S12" s="10" cm="1">
        <f t="array" ref="S12">SUMPRODUCT(--(LEN(_xlfn.UNIQUE(H12:Q12,TRUE))&gt;1))</f>
        <v>2</v>
      </c>
      <c r="T12" s="10">
        <f t="shared" si="0"/>
        <v>1</v>
      </c>
      <c r="U12" s="10">
        <f t="shared" si="1"/>
        <v>1</v>
      </c>
      <c r="V12" s="10">
        <f t="shared" si="1"/>
        <v>0</v>
      </c>
      <c r="W12" s="10">
        <f t="shared" si="1"/>
        <v>0</v>
      </c>
      <c r="X12" s="10">
        <f t="shared" si="1"/>
        <v>0</v>
      </c>
      <c r="Y12" s="10">
        <f t="shared" si="1"/>
        <v>0</v>
      </c>
      <c r="Z12" s="10">
        <f t="shared" si="1"/>
        <v>0</v>
      </c>
      <c r="AA12" s="10">
        <f t="shared" si="1"/>
        <v>0</v>
      </c>
      <c r="AB12" s="10">
        <f t="shared" si="1"/>
        <v>1</v>
      </c>
      <c r="AC12" s="10">
        <f t="shared" si="1"/>
        <v>0</v>
      </c>
      <c r="AD12" s="10">
        <f t="shared" si="1"/>
        <v>0</v>
      </c>
      <c r="AF12" s="29">
        <f t="shared" si="2"/>
        <v>0.5</v>
      </c>
      <c r="AG12" s="10" cm="1">
        <f t="array" ref="AG12:AI12">COUNTIF(H12:Q12,_xlfn.UNIQUE(H12:Q12,TRUE))</f>
        <v>8</v>
      </c>
      <c r="AH12" s="10">
        <v>0</v>
      </c>
      <c r="AI12" s="10">
        <v>1</v>
      </c>
    </row>
    <row r="13" spans="1:43" x14ac:dyDescent="0.2">
      <c r="A13" s="10" t="s">
        <v>200</v>
      </c>
      <c r="B13" s="10">
        <f t="shared" si="3"/>
        <v>7</v>
      </c>
      <c r="C13" s="10" t="s">
        <v>49</v>
      </c>
      <c r="D13" s="10" t="s">
        <v>39</v>
      </c>
      <c r="E13" s="10" t="s">
        <v>51</v>
      </c>
      <c r="F13" s="10" t="s">
        <v>51</v>
      </c>
      <c r="G13" s="10"/>
      <c r="H13" s="11"/>
      <c r="I13" s="11" t="s">
        <v>72</v>
      </c>
      <c r="J13" s="11" t="s">
        <v>72</v>
      </c>
      <c r="K13" s="11" t="s">
        <v>72</v>
      </c>
      <c r="L13" s="11" t="s">
        <v>72</v>
      </c>
      <c r="M13" s="11" t="s">
        <v>72</v>
      </c>
      <c r="N13" s="11"/>
      <c r="O13" s="11" t="s">
        <v>73</v>
      </c>
      <c r="P13" s="11" t="s">
        <v>74</v>
      </c>
      <c r="Q13" s="11" t="s">
        <v>74</v>
      </c>
      <c r="S13" s="10" cm="1">
        <f t="array" ref="S13">SUMPRODUCT(--(LEN(_xlfn.UNIQUE(H13:Q13,TRUE))&gt;1))</f>
        <v>3</v>
      </c>
      <c r="T13" s="10">
        <f t="shared" si="0"/>
        <v>2</v>
      </c>
      <c r="U13" s="10">
        <f t="shared" si="1"/>
        <v>1</v>
      </c>
      <c r="V13" s="10">
        <f t="shared" si="1"/>
        <v>1</v>
      </c>
      <c r="W13" s="10">
        <f t="shared" si="1"/>
        <v>0</v>
      </c>
      <c r="X13" s="10">
        <f t="shared" si="1"/>
        <v>0</v>
      </c>
      <c r="Y13" s="10">
        <f t="shared" si="1"/>
        <v>1</v>
      </c>
      <c r="Z13" s="10">
        <f t="shared" si="1"/>
        <v>0</v>
      </c>
      <c r="AA13" s="10">
        <f t="shared" si="1"/>
        <v>0</v>
      </c>
      <c r="AB13" s="10">
        <f t="shared" si="1"/>
        <v>0</v>
      </c>
      <c r="AC13" s="10">
        <f t="shared" si="1"/>
        <v>0</v>
      </c>
      <c r="AD13" s="10">
        <f t="shared" si="1"/>
        <v>0</v>
      </c>
      <c r="AF13" s="29">
        <f t="shared" si="2"/>
        <v>0.33333333333333331</v>
      </c>
      <c r="AG13" s="10" cm="1">
        <f t="array" ref="AG13:AJ13">COUNTIF(H13:Q13,_xlfn.UNIQUE(H13:Q13,TRUE))</f>
        <v>0</v>
      </c>
      <c r="AH13" s="10">
        <v>5</v>
      </c>
      <c r="AI13" s="10">
        <v>1</v>
      </c>
      <c r="AJ13" s="10">
        <v>2</v>
      </c>
    </row>
    <row r="14" spans="1:43" x14ac:dyDescent="0.2">
      <c r="A14" s="10" t="s">
        <v>200</v>
      </c>
      <c r="B14" s="10">
        <f t="shared" si="3"/>
        <v>8</v>
      </c>
      <c r="C14" s="10" t="s">
        <v>49</v>
      </c>
      <c r="D14" s="10" t="s">
        <v>39</v>
      </c>
      <c r="E14" s="10" t="s">
        <v>51</v>
      </c>
      <c r="F14" s="10" t="s">
        <v>51</v>
      </c>
      <c r="G14" s="10"/>
      <c r="H14" s="11" t="s">
        <v>75</v>
      </c>
      <c r="I14" s="11" t="s">
        <v>76</v>
      </c>
      <c r="J14" s="11" t="s">
        <v>76</v>
      </c>
      <c r="K14" s="11" t="s">
        <v>77</v>
      </c>
      <c r="N14" s="11" t="s">
        <v>78</v>
      </c>
      <c r="O14" s="11" t="s">
        <v>78</v>
      </c>
      <c r="P14" s="11" t="s">
        <v>78</v>
      </c>
      <c r="Q14" s="11" t="s">
        <v>78</v>
      </c>
      <c r="S14" s="10" cm="1">
        <f t="array" ref="S14">SUMPRODUCT(--(LEN(_xlfn.UNIQUE(H14:Q14,TRUE))&gt;1))</f>
        <v>4</v>
      </c>
      <c r="T14" s="10">
        <f t="shared" si="0"/>
        <v>2</v>
      </c>
      <c r="U14" s="10">
        <f t="shared" si="1"/>
        <v>2</v>
      </c>
      <c r="V14" s="10">
        <f t="shared" si="1"/>
        <v>1</v>
      </c>
      <c r="W14" s="10">
        <f t="shared" si="1"/>
        <v>0</v>
      </c>
      <c r="X14" s="10">
        <f t="shared" si="1"/>
        <v>1</v>
      </c>
      <c r="Y14" s="10">
        <f t="shared" si="1"/>
        <v>0</v>
      </c>
      <c r="Z14" s="10">
        <f t="shared" si="1"/>
        <v>0</v>
      </c>
      <c r="AA14" s="10">
        <f t="shared" si="1"/>
        <v>0</v>
      </c>
      <c r="AB14" s="10">
        <f t="shared" si="1"/>
        <v>0</v>
      </c>
      <c r="AC14" s="10">
        <f t="shared" si="1"/>
        <v>0</v>
      </c>
      <c r="AD14" s="10">
        <f t="shared" si="1"/>
        <v>0</v>
      </c>
      <c r="AF14" s="29">
        <f t="shared" si="2"/>
        <v>0.25</v>
      </c>
      <c r="AG14" s="10" cm="1">
        <f t="array" ref="AG14:AK14">COUNTIF(H14:Q14,_xlfn.UNIQUE(H14:Q14,TRUE))</f>
        <v>1</v>
      </c>
      <c r="AH14" s="10">
        <v>2</v>
      </c>
      <c r="AI14" s="10">
        <v>1</v>
      </c>
      <c r="AJ14" s="10">
        <v>0</v>
      </c>
      <c r="AK14" s="10">
        <v>4</v>
      </c>
    </row>
    <row r="15" spans="1:43" x14ac:dyDescent="0.2">
      <c r="A15" s="10" t="s">
        <v>200</v>
      </c>
      <c r="B15" s="10">
        <f t="shared" si="3"/>
        <v>9</v>
      </c>
      <c r="C15" s="10" t="s">
        <v>49</v>
      </c>
      <c r="D15" s="10" t="s">
        <v>39</v>
      </c>
      <c r="E15" s="10" t="s">
        <v>51</v>
      </c>
      <c r="F15" s="10" t="s">
        <v>51</v>
      </c>
      <c r="G15" s="10"/>
      <c r="H15" s="11"/>
      <c r="I15" s="11" t="s">
        <v>79</v>
      </c>
      <c r="J15" s="11"/>
      <c r="K15" s="11"/>
      <c r="L15" s="11" t="s">
        <v>62</v>
      </c>
      <c r="M15" s="11" t="s">
        <v>62</v>
      </c>
      <c r="N15" s="11" t="s">
        <v>62</v>
      </c>
      <c r="O15" s="11" t="s">
        <v>62</v>
      </c>
      <c r="P15" s="11" t="s">
        <v>62</v>
      </c>
      <c r="Q15" s="11" t="s">
        <v>62</v>
      </c>
      <c r="S15" s="10" cm="1">
        <f t="array" ref="S15">SUMPRODUCT(--(LEN(_xlfn.UNIQUE(H15:Q15,TRUE))&gt;1))</f>
        <v>2</v>
      </c>
      <c r="T15" s="10">
        <f t="shared" si="0"/>
        <v>3</v>
      </c>
      <c r="U15" s="10">
        <f t="shared" si="1"/>
        <v>1</v>
      </c>
      <c r="V15" s="10">
        <f t="shared" si="1"/>
        <v>0</v>
      </c>
      <c r="W15" s="10">
        <f t="shared" si="1"/>
        <v>0</v>
      </c>
      <c r="X15" s="10">
        <f t="shared" si="1"/>
        <v>0</v>
      </c>
      <c r="Y15" s="10">
        <f t="shared" si="1"/>
        <v>0</v>
      </c>
      <c r="Z15" s="10">
        <f t="shared" si="1"/>
        <v>1</v>
      </c>
      <c r="AA15" s="10">
        <f t="shared" si="1"/>
        <v>0</v>
      </c>
      <c r="AB15" s="10">
        <f t="shared" si="1"/>
        <v>0</v>
      </c>
      <c r="AC15" s="10">
        <f t="shared" si="1"/>
        <v>0</v>
      </c>
      <c r="AD15" s="10">
        <f t="shared" si="1"/>
        <v>0</v>
      </c>
      <c r="AF15" s="29">
        <f t="shared" si="2"/>
        <v>0.5</v>
      </c>
      <c r="AG15" s="10" cm="1">
        <f t="array" ref="AG15:AI15">COUNTIF(H15:Q15,_xlfn.UNIQUE(H15:Q15,TRUE))</f>
        <v>0</v>
      </c>
      <c r="AH15" s="10">
        <v>1</v>
      </c>
      <c r="AI15" s="10">
        <v>6</v>
      </c>
    </row>
    <row r="16" spans="1:43" x14ac:dyDescent="0.2">
      <c r="A16" s="10" t="s">
        <v>200</v>
      </c>
      <c r="B16" s="10">
        <f t="shared" si="3"/>
        <v>10</v>
      </c>
      <c r="C16" s="10" t="s">
        <v>49</v>
      </c>
      <c r="D16" s="10" t="s">
        <v>39</v>
      </c>
      <c r="E16" s="10" t="s">
        <v>51</v>
      </c>
      <c r="F16" s="10" t="s">
        <v>51</v>
      </c>
      <c r="G16" s="10"/>
      <c r="H16" s="11" t="s">
        <v>80</v>
      </c>
      <c r="I16" s="11" t="s">
        <v>80</v>
      </c>
      <c r="J16" s="11"/>
      <c r="K16" s="11" t="s">
        <v>81</v>
      </c>
      <c r="L16" s="11" t="s">
        <v>81</v>
      </c>
      <c r="M16" s="11"/>
      <c r="N16" s="11"/>
      <c r="O16" s="11">
        <v>4378</v>
      </c>
      <c r="P16" s="11">
        <v>4694</v>
      </c>
      <c r="Q16" s="11"/>
      <c r="S16" s="10" cm="1">
        <f t="array" ref="S16">SUMPRODUCT(--(LEN(_xlfn.UNIQUE(H16:Q16,TRUE))&gt;1))</f>
        <v>4</v>
      </c>
      <c r="T16" s="10">
        <f t="shared" si="0"/>
        <v>4</v>
      </c>
      <c r="U16" s="10">
        <f t="shared" si="1"/>
        <v>2</v>
      </c>
      <c r="V16" s="10">
        <f t="shared" si="1"/>
        <v>2</v>
      </c>
      <c r="W16" s="10">
        <f t="shared" si="1"/>
        <v>0</v>
      </c>
      <c r="X16" s="10">
        <f t="shared" si="1"/>
        <v>0</v>
      </c>
      <c r="Y16" s="10">
        <f t="shared" si="1"/>
        <v>0</v>
      </c>
      <c r="Z16" s="10">
        <f t="shared" si="1"/>
        <v>0</v>
      </c>
      <c r="AA16" s="10">
        <f t="shared" si="1"/>
        <v>0</v>
      </c>
      <c r="AB16" s="10">
        <f t="shared" si="1"/>
        <v>0</v>
      </c>
      <c r="AC16" s="10">
        <f t="shared" si="1"/>
        <v>0</v>
      </c>
      <c r="AD16" s="10">
        <f t="shared" si="1"/>
        <v>0</v>
      </c>
      <c r="AF16" s="29">
        <f t="shared" si="2"/>
        <v>0</v>
      </c>
      <c r="AG16" s="10" cm="1">
        <f t="array" ref="AG16:AK16">COUNTIF(H16:Q16,_xlfn.UNIQUE(H16:Q16,TRUE))</f>
        <v>2</v>
      </c>
      <c r="AH16" s="10">
        <v>0</v>
      </c>
      <c r="AI16" s="10">
        <v>2</v>
      </c>
      <c r="AJ16" s="10">
        <v>1</v>
      </c>
      <c r="AK16" s="10">
        <v>1</v>
      </c>
    </row>
    <row r="17" spans="1:39" x14ac:dyDescent="0.2">
      <c r="A17" s="10" t="s">
        <v>200</v>
      </c>
      <c r="B17" s="10">
        <f t="shared" si="3"/>
        <v>11</v>
      </c>
      <c r="C17" s="10" t="s">
        <v>49</v>
      </c>
      <c r="D17" s="10" t="s">
        <v>39</v>
      </c>
      <c r="E17" s="10" t="s">
        <v>51</v>
      </c>
      <c r="F17" s="10" t="s">
        <v>51</v>
      </c>
      <c r="G17" s="10"/>
      <c r="H17" s="11" t="s">
        <v>82</v>
      </c>
      <c r="I17" s="11" t="s">
        <v>82</v>
      </c>
      <c r="J17" s="11"/>
      <c r="K17" s="11" t="s">
        <v>83</v>
      </c>
      <c r="L17" s="11" t="s">
        <v>83</v>
      </c>
      <c r="M17" s="11"/>
      <c r="N17" s="11"/>
      <c r="O17" s="11" t="s">
        <v>84</v>
      </c>
      <c r="P17" s="11" t="s">
        <v>84</v>
      </c>
      <c r="Q17" s="11" t="s">
        <v>84</v>
      </c>
      <c r="S17" s="10" cm="1">
        <f t="array" ref="S17">SUMPRODUCT(--(LEN(_xlfn.UNIQUE(H17:Q17,TRUE))&gt;1))</f>
        <v>3</v>
      </c>
      <c r="T17" s="10">
        <f t="shared" si="0"/>
        <v>3</v>
      </c>
      <c r="U17" s="10">
        <f t="shared" si="1"/>
        <v>0</v>
      </c>
      <c r="V17" s="10">
        <f t="shared" si="1"/>
        <v>2</v>
      </c>
      <c r="W17" s="10">
        <f t="shared" si="1"/>
        <v>1</v>
      </c>
      <c r="X17" s="10">
        <f t="shared" si="1"/>
        <v>0</v>
      </c>
      <c r="Y17" s="10">
        <f t="shared" si="1"/>
        <v>0</v>
      </c>
      <c r="Z17" s="10">
        <f t="shared" si="1"/>
        <v>0</v>
      </c>
      <c r="AA17" s="10">
        <f t="shared" si="1"/>
        <v>0</v>
      </c>
      <c r="AB17" s="10">
        <f t="shared" si="1"/>
        <v>0</v>
      </c>
      <c r="AC17" s="10">
        <f t="shared" si="1"/>
        <v>0</v>
      </c>
      <c r="AD17" s="10">
        <f t="shared" si="1"/>
        <v>0</v>
      </c>
      <c r="AF17" s="29">
        <f t="shared" si="2"/>
        <v>0.33333333333333331</v>
      </c>
      <c r="AG17" s="10" cm="1">
        <f t="array" ref="AG17:AJ17">COUNTIF(H17:Q17,_xlfn.UNIQUE(H17:Q17,TRUE))</f>
        <v>2</v>
      </c>
      <c r="AH17" s="10">
        <v>0</v>
      </c>
      <c r="AI17" s="10">
        <v>2</v>
      </c>
      <c r="AJ17" s="10">
        <v>3</v>
      </c>
    </row>
    <row r="18" spans="1:39" x14ac:dyDescent="0.2">
      <c r="A18" s="10" t="s">
        <v>200</v>
      </c>
      <c r="B18" s="10">
        <f t="shared" si="3"/>
        <v>12</v>
      </c>
      <c r="C18" s="10" t="s">
        <v>49</v>
      </c>
      <c r="D18" s="10" t="s">
        <v>39</v>
      </c>
      <c r="E18" s="10" t="s">
        <v>51</v>
      </c>
      <c r="F18" s="10" t="s">
        <v>51</v>
      </c>
      <c r="G18" s="10"/>
      <c r="H18" s="11"/>
      <c r="I18" s="11" t="s">
        <v>85</v>
      </c>
      <c r="J18" s="11">
        <v>1238</v>
      </c>
      <c r="K18" s="11" t="s">
        <v>86</v>
      </c>
      <c r="L18" s="11" t="s">
        <v>86</v>
      </c>
      <c r="M18" s="11" t="s">
        <v>86</v>
      </c>
      <c r="N18" s="11"/>
      <c r="O18" s="11" t="s">
        <v>87</v>
      </c>
      <c r="P18" s="11" t="s">
        <v>88</v>
      </c>
      <c r="Q18" s="11"/>
      <c r="S18" s="10" cm="1">
        <f t="array" ref="S18">SUMPRODUCT(--(LEN(_xlfn.UNIQUE(H18:Q18,TRUE))&gt;1))</f>
        <v>5</v>
      </c>
      <c r="T18" s="10">
        <f t="shared" si="0"/>
        <v>3</v>
      </c>
      <c r="U18" s="10">
        <f t="shared" si="1"/>
        <v>4</v>
      </c>
      <c r="V18" s="10">
        <f t="shared" si="1"/>
        <v>0</v>
      </c>
      <c r="W18" s="10">
        <f t="shared" si="1"/>
        <v>1</v>
      </c>
      <c r="X18" s="10">
        <f t="shared" si="1"/>
        <v>0</v>
      </c>
      <c r="Y18" s="10">
        <f t="shared" si="1"/>
        <v>0</v>
      </c>
      <c r="Z18" s="10">
        <f t="shared" si="1"/>
        <v>0</v>
      </c>
      <c r="AA18" s="10">
        <f t="shared" si="1"/>
        <v>0</v>
      </c>
      <c r="AB18" s="10">
        <f t="shared" si="1"/>
        <v>0</v>
      </c>
      <c r="AC18" s="10">
        <f t="shared" si="1"/>
        <v>0</v>
      </c>
      <c r="AD18" s="10">
        <f t="shared" si="1"/>
        <v>0</v>
      </c>
      <c r="AF18" s="29">
        <f t="shared" si="2"/>
        <v>0.2</v>
      </c>
      <c r="AG18" s="10" cm="1">
        <f t="array" ref="AG18:AL18">COUNTIF(H18:Q18,_xlfn.UNIQUE(H18:Q18,TRUE))</f>
        <v>0</v>
      </c>
      <c r="AH18" s="10">
        <v>1</v>
      </c>
      <c r="AI18" s="10">
        <v>1</v>
      </c>
      <c r="AJ18" s="10">
        <v>3</v>
      </c>
      <c r="AK18" s="10">
        <v>1</v>
      </c>
      <c r="AL18" s="10">
        <v>1</v>
      </c>
    </row>
    <row r="19" spans="1:39" x14ac:dyDescent="0.2">
      <c r="A19" s="10" t="s">
        <v>200</v>
      </c>
      <c r="B19" s="10">
        <f t="shared" si="3"/>
        <v>13</v>
      </c>
      <c r="C19" s="10" t="s">
        <v>49</v>
      </c>
      <c r="D19" s="10" t="s">
        <v>39</v>
      </c>
      <c r="E19" s="10" t="s">
        <v>51</v>
      </c>
      <c r="F19" s="10" t="s">
        <v>51</v>
      </c>
      <c r="G19" s="10"/>
      <c r="H19" s="11"/>
      <c r="I19" s="11" t="s">
        <v>89</v>
      </c>
      <c r="J19" s="11"/>
      <c r="K19" s="11" t="s">
        <v>90</v>
      </c>
      <c r="L19" s="11" t="s">
        <v>90</v>
      </c>
      <c r="M19" s="11" t="s">
        <v>90</v>
      </c>
      <c r="N19" s="11"/>
      <c r="O19" s="11" t="s">
        <v>91</v>
      </c>
      <c r="P19" s="11" t="s">
        <v>92</v>
      </c>
      <c r="Q19" s="11" t="s">
        <v>92</v>
      </c>
      <c r="S19" s="10" cm="1">
        <f t="array" ref="S19">SUMPRODUCT(--(LEN(_xlfn.UNIQUE(H19:Q19,TRUE))&gt;1))</f>
        <v>4</v>
      </c>
      <c r="T19" s="10">
        <f t="shared" si="0"/>
        <v>3</v>
      </c>
      <c r="U19" s="10">
        <f t="shared" si="1"/>
        <v>2</v>
      </c>
      <c r="V19" s="10">
        <f t="shared" si="1"/>
        <v>1</v>
      </c>
      <c r="W19" s="10">
        <f t="shared" si="1"/>
        <v>1</v>
      </c>
      <c r="X19" s="10">
        <f t="shared" si="1"/>
        <v>0</v>
      </c>
      <c r="Y19" s="10">
        <f t="shared" si="1"/>
        <v>0</v>
      </c>
      <c r="Z19" s="10">
        <f t="shared" si="1"/>
        <v>0</v>
      </c>
      <c r="AA19" s="10">
        <f t="shared" si="1"/>
        <v>0</v>
      </c>
      <c r="AB19" s="10">
        <f t="shared" si="1"/>
        <v>0</v>
      </c>
      <c r="AC19" s="10">
        <f t="shared" si="1"/>
        <v>0</v>
      </c>
      <c r="AD19" s="10">
        <f t="shared" si="1"/>
        <v>0</v>
      </c>
      <c r="AF19" s="29">
        <f t="shared" si="2"/>
        <v>0.25</v>
      </c>
      <c r="AG19" s="10" cm="1">
        <f t="array" ref="AG19:AK19">COUNTIF(H19:Q19,_xlfn.UNIQUE(H19:Q19,TRUE))</f>
        <v>0</v>
      </c>
      <c r="AH19" s="10">
        <v>1</v>
      </c>
      <c r="AI19" s="10">
        <v>3</v>
      </c>
      <c r="AJ19" s="10">
        <v>1</v>
      </c>
      <c r="AK19" s="10">
        <v>2</v>
      </c>
    </row>
    <row r="20" spans="1:39" x14ac:dyDescent="0.2">
      <c r="A20" s="10" t="s">
        <v>200</v>
      </c>
      <c r="B20" s="10">
        <f t="shared" si="3"/>
        <v>14</v>
      </c>
      <c r="C20" s="10" t="s">
        <v>49</v>
      </c>
      <c r="D20" s="10" t="s">
        <v>39</v>
      </c>
      <c r="E20" s="10" t="s">
        <v>51</v>
      </c>
      <c r="F20" s="10" t="s">
        <v>51</v>
      </c>
      <c r="G20" s="10"/>
      <c r="H20" s="11"/>
      <c r="I20" s="11"/>
      <c r="J20" s="11"/>
      <c r="K20" s="11" t="s">
        <v>93</v>
      </c>
      <c r="L20" s="11" t="s">
        <v>93</v>
      </c>
      <c r="M20" s="11" t="s">
        <v>93</v>
      </c>
      <c r="N20" s="11"/>
      <c r="O20" s="11" t="s">
        <v>94</v>
      </c>
      <c r="P20" s="11" t="s">
        <v>95</v>
      </c>
      <c r="Q20" s="11" t="s">
        <v>96</v>
      </c>
      <c r="S20" s="10" cm="1">
        <f t="array" ref="S20">SUMPRODUCT(--(LEN(_xlfn.UNIQUE(H20:Q20,TRUE))&gt;1))</f>
        <v>4</v>
      </c>
      <c r="T20" s="10">
        <f t="shared" si="0"/>
        <v>4</v>
      </c>
      <c r="U20" s="10">
        <f t="shared" si="1"/>
        <v>3</v>
      </c>
      <c r="V20" s="10">
        <f t="shared" si="1"/>
        <v>0</v>
      </c>
      <c r="W20" s="10">
        <f t="shared" si="1"/>
        <v>1</v>
      </c>
      <c r="X20" s="10">
        <f t="shared" si="1"/>
        <v>0</v>
      </c>
      <c r="Y20" s="10">
        <f t="shared" si="1"/>
        <v>0</v>
      </c>
      <c r="Z20" s="10">
        <f t="shared" si="1"/>
        <v>0</v>
      </c>
      <c r="AA20" s="10">
        <f t="shared" si="1"/>
        <v>0</v>
      </c>
      <c r="AB20" s="10">
        <f t="shared" si="1"/>
        <v>0</v>
      </c>
      <c r="AC20" s="10">
        <f t="shared" si="1"/>
        <v>0</v>
      </c>
      <c r="AD20" s="10">
        <f t="shared" si="1"/>
        <v>0</v>
      </c>
      <c r="AF20" s="29">
        <f t="shared" si="2"/>
        <v>0.25</v>
      </c>
      <c r="AG20" s="10" cm="1">
        <f t="array" ref="AG20:AK20">COUNTIF(H20:Q20,_xlfn.UNIQUE(H20:Q20,TRUE))</f>
        <v>0</v>
      </c>
      <c r="AH20" s="10">
        <v>3</v>
      </c>
      <c r="AI20" s="10">
        <v>1</v>
      </c>
      <c r="AJ20" s="10">
        <v>1</v>
      </c>
      <c r="AK20" s="10">
        <v>1</v>
      </c>
    </row>
    <row r="21" spans="1:39" x14ac:dyDescent="0.2">
      <c r="A21" s="10" t="s">
        <v>200</v>
      </c>
      <c r="B21" s="10">
        <f t="shared" si="3"/>
        <v>15</v>
      </c>
      <c r="C21" s="10" t="s">
        <v>49</v>
      </c>
      <c r="D21" s="10" t="s">
        <v>97</v>
      </c>
      <c r="E21" s="10" t="s">
        <v>51</v>
      </c>
      <c r="F21" s="10" t="s">
        <v>51</v>
      </c>
      <c r="G21" s="10"/>
      <c r="H21" s="11" t="s">
        <v>98</v>
      </c>
      <c r="I21" s="11">
        <v>4395</v>
      </c>
      <c r="J21" s="11" t="s">
        <v>99</v>
      </c>
      <c r="K21" s="11" t="s">
        <v>100</v>
      </c>
      <c r="L21" s="11" t="s">
        <v>100</v>
      </c>
      <c r="M21" s="11"/>
      <c r="N21" s="11" t="s">
        <v>101</v>
      </c>
      <c r="O21" s="11" t="s">
        <v>101</v>
      </c>
      <c r="P21" s="11"/>
      <c r="Q21" s="11"/>
      <c r="S21" s="10" cm="1">
        <f t="array" ref="S21">SUMPRODUCT(--(LEN(_xlfn.UNIQUE(H21:Q21,TRUE))&gt;1))</f>
        <v>5</v>
      </c>
      <c r="T21" s="10">
        <f t="shared" si="0"/>
        <v>3</v>
      </c>
      <c r="U21" s="10">
        <f t="shared" si="1"/>
        <v>3</v>
      </c>
      <c r="V21" s="10">
        <f t="shared" si="1"/>
        <v>2</v>
      </c>
      <c r="W21" s="10">
        <f t="shared" si="1"/>
        <v>0</v>
      </c>
      <c r="X21" s="10">
        <f t="shared" si="1"/>
        <v>0</v>
      </c>
      <c r="Y21" s="10">
        <f t="shared" si="1"/>
        <v>0</v>
      </c>
      <c r="Z21" s="10">
        <f t="shared" si="1"/>
        <v>0</v>
      </c>
      <c r="AA21" s="10">
        <f t="shared" si="1"/>
        <v>0</v>
      </c>
      <c r="AB21" s="10">
        <f t="shared" si="1"/>
        <v>0</v>
      </c>
      <c r="AC21" s="10">
        <f t="shared" si="1"/>
        <v>0</v>
      </c>
      <c r="AD21" s="10">
        <f t="shared" si="1"/>
        <v>0</v>
      </c>
      <c r="AF21" s="29">
        <f t="shared" si="2"/>
        <v>0</v>
      </c>
      <c r="AG21" s="10" cm="1">
        <f t="array" ref="AG21:AL21">COUNTIF(H21:Q21,_xlfn.UNIQUE(H21:Q21,TRUE))</f>
        <v>1</v>
      </c>
      <c r="AH21" s="10">
        <v>1</v>
      </c>
      <c r="AI21" s="10">
        <v>1</v>
      </c>
      <c r="AJ21" s="10">
        <v>2</v>
      </c>
      <c r="AK21" s="10">
        <v>0</v>
      </c>
      <c r="AL21" s="10">
        <v>2</v>
      </c>
    </row>
    <row r="22" spans="1:39" x14ac:dyDescent="0.2">
      <c r="A22" s="10" t="s">
        <v>200</v>
      </c>
      <c r="B22" s="10">
        <f t="shared" si="3"/>
        <v>16</v>
      </c>
      <c r="C22" s="10" t="s">
        <v>49</v>
      </c>
      <c r="D22" s="10" t="s">
        <v>97</v>
      </c>
      <c r="E22" s="10" t="s">
        <v>51</v>
      </c>
      <c r="F22" s="10" t="s">
        <v>51</v>
      </c>
      <c r="G22" s="10"/>
      <c r="H22" s="11">
        <v>2972</v>
      </c>
      <c r="I22" s="11">
        <v>2972</v>
      </c>
      <c r="J22" s="11">
        <v>2972</v>
      </c>
      <c r="K22" s="11">
        <v>5081</v>
      </c>
      <c r="L22" s="11">
        <v>5081</v>
      </c>
      <c r="M22" s="11"/>
      <c r="N22" s="11"/>
      <c r="O22" s="11" t="s">
        <v>102</v>
      </c>
      <c r="P22" s="11" t="s">
        <v>103</v>
      </c>
      <c r="Q22" s="11" t="s">
        <v>104</v>
      </c>
      <c r="S22" s="10" cm="1">
        <f t="array" ref="S22">SUMPRODUCT(--(LEN(_xlfn.UNIQUE(H22:Q22,TRUE))&gt;1))</f>
        <v>5</v>
      </c>
      <c r="T22" s="10">
        <f t="shared" si="0"/>
        <v>2</v>
      </c>
      <c r="U22" s="10">
        <f t="shared" si="1"/>
        <v>3</v>
      </c>
      <c r="V22" s="10">
        <f t="shared" si="1"/>
        <v>1</v>
      </c>
      <c r="W22" s="10">
        <f t="shared" si="1"/>
        <v>1</v>
      </c>
      <c r="X22" s="10">
        <f t="shared" si="1"/>
        <v>0</v>
      </c>
      <c r="Y22" s="10">
        <f t="shared" si="1"/>
        <v>0</v>
      </c>
      <c r="Z22" s="10">
        <f t="shared" si="1"/>
        <v>0</v>
      </c>
      <c r="AA22" s="10">
        <f t="shared" si="1"/>
        <v>0</v>
      </c>
      <c r="AB22" s="10">
        <f t="shared" si="1"/>
        <v>0</v>
      </c>
      <c r="AC22" s="10">
        <f t="shared" si="1"/>
        <v>0</v>
      </c>
      <c r="AD22" s="10">
        <f t="shared" si="1"/>
        <v>0</v>
      </c>
      <c r="AF22" s="29">
        <f t="shared" si="2"/>
        <v>0.2</v>
      </c>
      <c r="AG22" s="10" cm="1">
        <f t="array" ref="AG22:AL22">COUNTIF(H22:Q22,_xlfn.UNIQUE(H22:Q22,TRUE))</f>
        <v>3</v>
      </c>
      <c r="AH22" s="10">
        <v>2</v>
      </c>
      <c r="AI22" s="10">
        <v>0</v>
      </c>
      <c r="AJ22" s="10">
        <v>1</v>
      </c>
      <c r="AK22" s="10">
        <v>1</v>
      </c>
      <c r="AL22" s="10">
        <v>1</v>
      </c>
    </row>
    <row r="23" spans="1:39" x14ac:dyDescent="0.2">
      <c r="A23" s="10" t="s">
        <v>201</v>
      </c>
      <c r="B23" s="10">
        <f t="shared" si="3"/>
        <v>1</v>
      </c>
      <c r="C23" s="10" t="s">
        <v>105</v>
      </c>
      <c r="D23" s="10" t="s">
        <v>106</v>
      </c>
      <c r="E23" s="10" t="s">
        <v>51</v>
      </c>
      <c r="F23" s="10" t="s">
        <v>40</v>
      </c>
      <c r="G23" s="10"/>
      <c r="H23" s="11"/>
      <c r="I23" s="11"/>
      <c r="J23" s="11" t="s">
        <v>107</v>
      </c>
      <c r="K23" s="11" t="s">
        <v>108</v>
      </c>
      <c r="L23" s="11"/>
      <c r="M23" s="11" t="s">
        <v>109</v>
      </c>
      <c r="N23" s="11" t="s">
        <v>110</v>
      </c>
      <c r="O23" s="11" t="s">
        <v>111</v>
      </c>
      <c r="P23" s="11"/>
      <c r="Q23" s="11" t="s">
        <v>112</v>
      </c>
      <c r="S23" s="10" cm="1">
        <f t="array" ref="S23">SUMPRODUCT(--(LEN(_xlfn.UNIQUE(H23:Q23,TRUE))&gt;1))</f>
        <v>6</v>
      </c>
      <c r="T23" s="10">
        <f t="shared" si="0"/>
        <v>4</v>
      </c>
      <c r="U23" s="10">
        <f t="shared" si="1"/>
        <v>6</v>
      </c>
      <c r="V23" s="10">
        <f t="shared" si="1"/>
        <v>0</v>
      </c>
      <c r="W23" s="10">
        <f t="shared" si="1"/>
        <v>0</v>
      </c>
      <c r="X23" s="10">
        <f t="shared" si="1"/>
        <v>0</v>
      </c>
      <c r="Y23" s="10">
        <f t="shared" si="1"/>
        <v>0</v>
      </c>
      <c r="Z23" s="10">
        <f t="shared" si="1"/>
        <v>0</v>
      </c>
      <c r="AA23" s="10">
        <f t="shared" si="1"/>
        <v>0</v>
      </c>
      <c r="AB23" s="10">
        <f t="shared" si="1"/>
        <v>0</v>
      </c>
      <c r="AC23" s="10">
        <f t="shared" si="1"/>
        <v>0</v>
      </c>
      <c r="AD23" s="10">
        <f t="shared" si="1"/>
        <v>0</v>
      </c>
      <c r="AF23" s="29">
        <f t="shared" si="2"/>
        <v>0</v>
      </c>
      <c r="AG23" s="10" cm="1">
        <f t="array" ref="AG23:AM23">COUNTIF(H23:Q23,_xlfn.UNIQUE(H23:Q23,TRUE))</f>
        <v>0</v>
      </c>
      <c r="AH23" s="10">
        <v>1</v>
      </c>
      <c r="AI23" s="10">
        <v>1</v>
      </c>
      <c r="AJ23" s="10">
        <v>1</v>
      </c>
      <c r="AK23" s="10">
        <v>1</v>
      </c>
      <c r="AL23" s="10">
        <v>1</v>
      </c>
      <c r="AM23" s="10">
        <v>1</v>
      </c>
    </row>
    <row r="24" spans="1:39" x14ac:dyDescent="0.2">
      <c r="A24" s="10" t="s">
        <v>201</v>
      </c>
      <c r="B24" s="10">
        <f t="shared" si="3"/>
        <v>2</v>
      </c>
      <c r="C24" s="10" t="s">
        <v>105</v>
      </c>
      <c r="D24" s="10" t="s">
        <v>106</v>
      </c>
      <c r="E24" s="10" t="s">
        <v>51</v>
      </c>
      <c r="F24" s="10" t="s">
        <v>40</v>
      </c>
      <c r="G24" s="10"/>
      <c r="H24" s="11"/>
      <c r="I24" s="11"/>
      <c r="J24" s="11" t="s">
        <v>113</v>
      </c>
      <c r="K24" s="11" t="s">
        <v>114</v>
      </c>
      <c r="L24" s="11"/>
      <c r="M24" s="11"/>
      <c r="N24" s="11"/>
      <c r="O24" s="11" t="s">
        <v>115</v>
      </c>
      <c r="P24" s="11"/>
      <c r="Q24" s="11" t="s">
        <v>116</v>
      </c>
      <c r="S24" s="10" cm="1">
        <f t="array" ref="S24">SUMPRODUCT(--(LEN(_xlfn.UNIQUE(H24:Q24,TRUE))&gt;1))</f>
        <v>4</v>
      </c>
      <c r="T24" s="10">
        <f t="shared" si="0"/>
        <v>6</v>
      </c>
      <c r="U24" s="10">
        <f t="shared" si="1"/>
        <v>4</v>
      </c>
      <c r="V24" s="10">
        <f t="shared" si="1"/>
        <v>0</v>
      </c>
      <c r="W24" s="10">
        <f t="shared" si="1"/>
        <v>0</v>
      </c>
      <c r="X24" s="10">
        <f t="shared" si="1"/>
        <v>0</v>
      </c>
      <c r="Y24" s="10">
        <f t="shared" si="1"/>
        <v>0</v>
      </c>
      <c r="Z24" s="10">
        <f t="shared" si="1"/>
        <v>0</v>
      </c>
      <c r="AA24" s="10">
        <f t="shared" si="1"/>
        <v>0</v>
      </c>
      <c r="AB24" s="10">
        <f t="shared" si="1"/>
        <v>0</v>
      </c>
      <c r="AC24" s="10">
        <f t="shared" si="1"/>
        <v>0</v>
      </c>
      <c r="AD24" s="10">
        <f t="shared" si="1"/>
        <v>0</v>
      </c>
      <c r="AF24" s="29">
        <f t="shared" si="2"/>
        <v>0</v>
      </c>
      <c r="AG24" s="10" cm="1">
        <f t="array" ref="AG24:AK24">COUNTIF(H24:Q24,_xlfn.UNIQUE(H24:Q24,TRUE))</f>
        <v>0</v>
      </c>
      <c r="AH24" s="10">
        <v>1</v>
      </c>
      <c r="AI24" s="10">
        <v>1</v>
      </c>
      <c r="AJ24" s="10">
        <v>1</v>
      </c>
      <c r="AK24" s="10">
        <v>1</v>
      </c>
    </row>
    <row r="25" spans="1:39" x14ac:dyDescent="0.2">
      <c r="A25" s="10" t="s">
        <v>201</v>
      </c>
      <c r="B25" s="10">
        <f t="shared" si="3"/>
        <v>3</v>
      </c>
      <c r="C25" s="10" t="s">
        <v>105</v>
      </c>
      <c r="D25" s="10" t="s">
        <v>106</v>
      </c>
      <c r="E25" s="10" t="s">
        <v>51</v>
      </c>
      <c r="F25" s="10" t="s">
        <v>40</v>
      </c>
      <c r="G25" s="10"/>
      <c r="H25" s="11" t="s">
        <v>117</v>
      </c>
      <c r="I25" s="11" t="s">
        <v>117</v>
      </c>
      <c r="J25" s="11" t="s">
        <v>117</v>
      </c>
      <c r="K25" s="11" t="s">
        <v>117</v>
      </c>
      <c r="L25" s="11" t="s">
        <v>117</v>
      </c>
      <c r="M25" s="11" t="s">
        <v>118</v>
      </c>
      <c r="N25" s="11" t="s">
        <v>118</v>
      </c>
      <c r="O25" s="11" t="s">
        <v>118</v>
      </c>
      <c r="P25" s="11" t="s">
        <v>119</v>
      </c>
      <c r="Q25" s="11" t="s">
        <v>119</v>
      </c>
      <c r="S25" s="10" cm="1">
        <f t="array" ref="S25">SUMPRODUCT(--(LEN(_xlfn.UNIQUE(H25:Q25,TRUE))&gt;1))</f>
        <v>3</v>
      </c>
      <c r="T25" s="10">
        <f t="shared" si="0"/>
        <v>0</v>
      </c>
      <c r="U25" s="10">
        <f t="shared" si="1"/>
        <v>0</v>
      </c>
      <c r="V25" s="10">
        <f t="shared" si="1"/>
        <v>1</v>
      </c>
      <c r="W25" s="10">
        <f t="shared" si="1"/>
        <v>1</v>
      </c>
      <c r="X25" s="10">
        <f t="shared" si="1"/>
        <v>0</v>
      </c>
      <c r="Y25" s="10">
        <f t="shared" si="1"/>
        <v>1</v>
      </c>
      <c r="Z25" s="10">
        <f t="shared" si="1"/>
        <v>0</v>
      </c>
      <c r="AA25" s="10">
        <f t="shared" si="1"/>
        <v>0</v>
      </c>
      <c r="AB25" s="10">
        <f t="shared" si="1"/>
        <v>0</v>
      </c>
      <c r="AC25" s="10">
        <f t="shared" si="1"/>
        <v>0</v>
      </c>
      <c r="AD25" s="10">
        <f t="shared" si="1"/>
        <v>0</v>
      </c>
      <c r="AF25" s="29">
        <f t="shared" si="2"/>
        <v>0.66666666666666663</v>
      </c>
      <c r="AG25" s="10" cm="1">
        <f t="array" ref="AG25:AI25">COUNTIF(H25:Q25,_xlfn.UNIQUE(H25:Q25,TRUE))</f>
        <v>5</v>
      </c>
      <c r="AH25" s="10">
        <v>3</v>
      </c>
      <c r="AI25" s="10">
        <v>2</v>
      </c>
    </row>
    <row r="26" spans="1:39" x14ac:dyDescent="0.2">
      <c r="A26" s="10" t="s">
        <v>201</v>
      </c>
      <c r="B26" s="10">
        <f t="shared" si="3"/>
        <v>4</v>
      </c>
      <c r="C26" s="10" t="s">
        <v>105</v>
      </c>
      <c r="D26" s="10" t="s">
        <v>106</v>
      </c>
      <c r="E26" s="10" t="s">
        <v>51</v>
      </c>
      <c r="F26" s="10" t="s">
        <v>40</v>
      </c>
      <c r="G26" s="10"/>
      <c r="H26" s="11"/>
      <c r="I26" s="11"/>
      <c r="J26" s="11"/>
      <c r="K26" s="11" t="s">
        <v>120</v>
      </c>
      <c r="L26" s="11" t="s">
        <v>121</v>
      </c>
      <c r="M26" s="11">
        <v>583</v>
      </c>
      <c r="N26" s="11"/>
      <c r="O26" s="11" t="s">
        <v>122</v>
      </c>
      <c r="P26" s="11" t="s">
        <v>122</v>
      </c>
      <c r="Q26" s="11"/>
      <c r="S26" s="10" cm="1">
        <f t="array" ref="S26">SUMPRODUCT(--(LEN(_xlfn.UNIQUE(H26:Q26,TRUE))&gt;1))</f>
        <v>4</v>
      </c>
      <c r="T26" s="10">
        <f t="shared" si="0"/>
        <v>5</v>
      </c>
      <c r="U26" s="10">
        <f t="shared" si="1"/>
        <v>3</v>
      </c>
      <c r="V26" s="10">
        <f t="shared" si="1"/>
        <v>1</v>
      </c>
      <c r="W26" s="10">
        <f t="shared" si="1"/>
        <v>0</v>
      </c>
      <c r="X26" s="10">
        <f t="shared" si="1"/>
        <v>0</v>
      </c>
      <c r="Y26" s="10">
        <f t="shared" si="1"/>
        <v>0</v>
      </c>
      <c r="Z26" s="10">
        <f t="shared" si="1"/>
        <v>0</v>
      </c>
      <c r="AA26" s="10">
        <f t="shared" si="1"/>
        <v>0</v>
      </c>
      <c r="AB26" s="10">
        <f t="shared" si="1"/>
        <v>0</v>
      </c>
      <c r="AC26" s="10">
        <f t="shared" si="1"/>
        <v>0</v>
      </c>
      <c r="AD26" s="10">
        <f t="shared" si="1"/>
        <v>0</v>
      </c>
      <c r="AF26" s="29">
        <f t="shared" si="2"/>
        <v>0</v>
      </c>
      <c r="AG26" s="10" cm="1">
        <f t="array" ref="AG26:AK26">COUNTIF(H26:Q26,_xlfn.UNIQUE(H26:Q26,TRUE))</f>
        <v>0</v>
      </c>
      <c r="AH26" s="10">
        <v>1</v>
      </c>
      <c r="AI26" s="10">
        <v>1</v>
      </c>
      <c r="AJ26" s="10">
        <v>1</v>
      </c>
      <c r="AK26" s="10">
        <v>2</v>
      </c>
    </row>
    <row r="27" spans="1:39" x14ac:dyDescent="0.2">
      <c r="A27" s="10" t="s">
        <v>201</v>
      </c>
      <c r="B27" s="10">
        <f t="shared" si="3"/>
        <v>5</v>
      </c>
      <c r="C27" s="10" t="s">
        <v>105</v>
      </c>
      <c r="D27" s="10" t="s">
        <v>106</v>
      </c>
      <c r="E27" s="10" t="s">
        <v>51</v>
      </c>
      <c r="F27" s="10" t="s">
        <v>40</v>
      </c>
      <c r="G27" s="10"/>
      <c r="H27" s="11"/>
      <c r="I27" s="11"/>
      <c r="J27" s="11" t="s">
        <v>123</v>
      </c>
      <c r="K27" s="11" t="s">
        <v>124</v>
      </c>
      <c r="L27" s="11" t="s">
        <v>124</v>
      </c>
      <c r="M27" s="11"/>
      <c r="N27" s="11"/>
      <c r="O27" s="11" t="s">
        <v>125</v>
      </c>
      <c r="P27" s="11" t="s">
        <v>125</v>
      </c>
      <c r="Q27" s="11" t="s">
        <v>125</v>
      </c>
      <c r="S27" s="10" cm="1">
        <f t="array" ref="S27">SUMPRODUCT(--(LEN(_xlfn.UNIQUE(H27:Q27,TRUE))&gt;1))</f>
        <v>3</v>
      </c>
      <c r="T27" s="10">
        <f t="shared" si="0"/>
        <v>4</v>
      </c>
      <c r="U27" s="10">
        <f t="shared" si="1"/>
        <v>1</v>
      </c>
      <c r="V27" s="10">
        <f t="shared" si="1"/>
        <v>1</v>
      </c>
      <c r="W27" s="10">
        <f t="shared" si="1"/>
        <v>1</v>
      </c>
      <c r="X27" s="10">
        <f t="shared" si="1"/>
        <v>0</v>
      </c>
      <c r="Y27" s="10">
        <f t="shared" si="1"/>
        <v>0</v>
      </c>
      <c r="Z27" s="10">
        <f t="shared" ref="Z27:AD27" si="4">COUNTIF($AG27:$AP27,AM$1)</f>
        <v>0</v>
      </c>
      <c r="AA27" s="10">
        <f t="shared" si="4"/>
        <v>0</v>
      </c>
      <c r="AB27" s="10">
        <f t="shared" si="4"/>
        <v>0</v>
      </c>
      <c r="AC27" s="10">
        <f t="shared" si="4"/>
        <v>0</v>
      </c>
      <c r="AD27" s="10">
        <f t="shared" si="4"/>
        <v>0</v>
      </c>
      <c r="AF27" s="29">
        <f t="shared" si="2"/>
        <v>0.33333333333333331</v>
      </c>
      <c r="AG27" s="10" cm="1">
        <f t="array" ref="AG27:AJ27">COUNTIF(H27:Q27,_xlfn.UNIQUE(H27:Q27,TRUE))</f>
        <v>0</v>
      </c>
      <c r="AH27" s="10">
        <v>1</v>
      </c>
      <c r="AI27" s="10">
        <v>2</v>
      </c>
      <c r="AJ27" s="10">
        <v>3</v>
      </c>
    </row>
    <row r="28" spans="1:39" x14ac:dyDescent="0.2">
      <c r="A28" s="10" t="s">
        <v>201</v>
      </c>
      <c r="B28" s="10">
        <f t="shared" si="3"/>
        <v>6</v>
      </c>
      <c r="C28" s="10" t="s">
        <v>105</v>
      </c>
      <c r="D28" s="10" t="s">
        <v>106</v>
      </c>
      <c r="E28" s="10" t="s">
        <v>51</v>
      </c>
      <c r="F28" s="10" t="s">
        <v>40</v>
      </c>
      <c r="G28" s="10"/>
      <c r="H28" s="11" t="s">
        <v>126</v>
      </c>
      <c r="I28" s="11"/>
      <c r="J28" s="11"/>
      <c r="K28" s="11" t="s">
        <v>127</v>
      </c>
      <c r="L28" s="11" t="s">
        <v>127</v>
      </c>
      <c r="M28" s="11" t="s">
        <v>127</v>
      </c>
      <c r="N28" s="11" t="s">
        <v>127</v>
      </c>
      <c r="O28" s="11" t="s">
        <v>127</v>
      </c>
      <c r="P28" s="11"/>
      <c r="Q28" s="11"/>
      <c r="S28" s="10" cm="1">
        <f t="array" ref="S28">SUMPRODUCT(--(LEN(_xlfn.UNIQUE(H28:Q28,TRUE))&gt;1))</f>
        <v>2</v>
      </c>
      <c r="T28" s="10">
        <f t="shared" si="0"/>
        <v>4</v>
      </c>
      <c r="U28" s="10">
        <f t="shared" ref="U28:AD30" si="5">COUNTIF($AG28:$AP28,AH$1)</f>
        <v>1</v>
      </c>
      <c r="V28" s="10">
        <f t="shared" si="5"/>
        <v>0</v>
      </c>
      <c r="W28" s="10">
        <f t="shared" si="5"/>
        <v>0</v>
      </c>
      <c r="X28" s="10">
        <f t="shared" si="5"/>
        <v>0</v>
      </c>
      <c r="Y28" s="10">
        <f t="shared" si="5"/>
        <v>1</v>
      </c>
      <c r="Z28" s="10">
        <f t="shared" si="5"/>
        <v>0</v>
      </c>
      <c r="AA28" s="10">
        <f t="shared" si="5"/>
        <v>0</v>
      </c>
      <c r="AB28" s="10">
        <f t="shared" si="5"/>
        <v>0</v>
      </c>
      <c r="AC28" s="10">
        <f t="shared" si="5"/>
        <v>0</v>
      </c>
      <c r="AD28" s="10">
        <f t="shared" si="5"/>
        <v>0</v>
      </c>
      <c r="AF28" s="29">
        <f t="shared" si="2"/>
        <v>0.5</v>
      </c>
      <c r="AG28" s="10" cm="1">
        <f t="array" ref="AG28:AI28">COUNTIF(H28:Q28,_xlfn.UNIQUE(H28:Q28,TRUE))</f>
        <v>1</v>
      </c>
      <c r="AH28" s="10">
        <v>0</v>
      </c>
      <c r="AI28" s="10">
        <v>5</v>
      </c>
    </row>
    <row r="29" spans="1:39" x14ac:dyDescent="0.2">
      <c r="A29" s="10" t="s">
        <v>201</v>
      </c>
      <c r="B29" s="10">
        <f t="shared" si="3"/>
        <v>7</v>
      </c>
      <c r="C29" s="10" t="s">
        <v>105</v>
      </c>
      <c r="D29" s="10" t="s">
        <v>128</v>
      </c>
      <c r="E29" s="10" t="s">
        <v>51</v>
      </c>
      <c r="F29" s="10" t="s">
        <v>40</v>
      </c>
      <c r="G29" s="10"/>
      <c r="H29" s="11"/>
      <c r="I29" s="11"/>
      <c r="J29" s="11" t="s">
        <v>129</v>
      </c>
      <c r="K29" s="11"/>
      <c r="L29" s="11"/>
      <c r="M29" s="11"/>
      <c r="N29" s="11"/>
      <c r="O29" s="11">
        <v>8158</v>
      </c>
      <c r="P29" s="11">
        <v>8158</v>
      </c>
      <c r="Q29" s="11">
        <v>8158</v>
      </c>
      <c r="S29" s="10" cm="1">
        <f t="array" ref="S29">SUMPRODUCT(--(LEN(_xlfn.UNIQUE(H29:Q29,TRUE))&gt;1))</f>
        <v>2</v>
      </c>
      <c r="T29" s="10">
        <f t="shared" si="0"/>
        <v>6</v>
      </c>
      <c r="U29" s="10">
        <f t="shared" si="5"/>
        <v>1</v>
      </c>
      <c r="V29" s="10">
        <f t="shared" si="5"/>
        <v>0</v>
      </c>
      <c r="W29" s="10">
        <f t="shared" si="5"/>
        <v>1</v>
      </c>
      <c r="X29" s="10">
        <f t="shared" si="5"/>
        <v>0</v>
      </c>
      <c r="Y29" s="10">
        <f t="shared" si="5"/>
        <v>0</v>
      </c>
      <c r="Z29" s="10">
        <f t="shared" si="5"/>
        <v>0</v>
      </c>
      <c r="AA29" s="10">
        <f t="shared" si="5"/>
        <v>0</v>
      </c>
      <c r="AB29" s="10">
        <f t="shared" si="5"/>
        <v>0</v>
      </c>
      <c r="AC29" s="10">
        <f t="shared" si="5"/>
        <v>0</v>
      </c>
      <c r="AD29" s="10">
        <f t="shared" si="5"/>
        <v>0</v>
      </c>
      <c r="AF29" s="29">
        <f t="shared" si="2"/>
        <v>0.5</v>
      </c>
      <c r="AG29" s="10" cm="1">
        <f t="array" ref="AG29:AI29">COUNTIF(H29:Q29,_xlfn.UNIQUE(H29:Q29,TRUE))</f>
        <v>0</v>
      </c>
      <c r="AH29" s="10">
        <v>1</v>
      </c>
      <c r="AI29" s="10">
        <v>3</v>
      </c>
    </row>
    <row r="30" spans="1:39" x14ac:dyDescent="0.2">
      <c r="A30" s="10" t="s">
        <v>201</v>
      </c>
      <c r="B30" s="10">
        <f t="shared" si="3"/>
        <v>8</v>
      </c>
      <c r="C30" s="10" t="s">
        <v>105</v>
      </c>
      <c r="D30" s="10" t="s">
        <v>128</v>
      </c>
      <c r="E30" s="10" t="s">
        <v>51</v>
      </c>
      <c r="F30" s="10" t="s">
        <v>40</v>
      </c>
      <c r="G30" s="10"/>
      <c r="H30" s="11" t="s">
        <v>130</v>
      </c>
      <c r="I30" s="11" t="s">
        <v>130</v>
      </c>
      <c r="J30" s="11" t="s">
        <v>130</v>
      </c>
      <c r="K30" s="11">
        <v>1205</v>
      </c>
      <c r="L30" s="11" t="s">
        <v>131</v>
      </c>
      <c r="M30" s="11"/>
      <c r="N30" s="11" t="s">
        <v>132</v>
      </c>
      <c r="O30" s="11" t="s">
        <v>133</v>
      </c>
      <c r="P30" s="11" t="s">
        <v>133</v>
      </c>
      <c r="Q30" s="11"/>
      <c r="S30" s="10" cm="1">
        <f t="array" ref="S30">SUMPRODUCT(--(LEN(_xlfn.UNIQUE(H30:Q30,TRUE))&gt;1))</f>
        <v>5</v>
      </c>
      <c r="T30" s="10">
        <f t="shared" si="0"/>
        <v>2</v>
      </c>
      <c r="U30" s="10">
        <f t="shared" si="5"/>
        <v>3</v>
      </c>
      <c r="V30" s="10">
        <f t="shared" si="5"/>
        <v>1</v>
      </c>
      <c r="W30" s="10">
        <f t="shared" si="5"/>
        <v>1</v>
      </c>
      <c r="X30" s="10">
        <f t="shared" si="5"/>
        <v>0</v>
      </c>
      <c r="Y30" s="10">
        <f t="shared" si="5"/>
        <v>0</v>
      </c>
      <c r="Z30" s="10">
        <f t="shared" si="5"/>
        <v>0</v>
      </c>
      <c r="AA30" s="10">
        <f t="shared" si="5"/>
        <v>0</v>
      </c>
      <c r="AB30" s="10">
        <f t="shared" si="5"/>
        <v>0</v>
      </c>
      <c r="AC30" s="10">
        <f t="shared" si="5"/>
        <v>0</v>
      </c>
      <c r="AD30" s="10">
        <f t="shared" si="5"/>
        <v>0</v>
      </c>
      <c r="AF30" s="29">
        <f t="shared" si="2"/>
        <v>0.2</v>
      </c>
      <c r="AG30" s="10" cm="1">
        <f t="array" ref="AG30:AL30">COUNTIF(H30:Q30,_xlfn.UNIQUE(H30:Q30,TRUE))</f>
        <v>3</v>
      </c>
      <c r="AH30" s="10">
        <v>1</v>
      </c>
      <c r="AI30" s="10">
        <v>1</v>
      </c>
      <c r="AJ30" s="10">
        <v>0</v>
      </c>
      <c r="AK30" s="10">
        <v>1</v>
      </c>
      <c r="AL30" s="10">
        <v>2</v>
      </c>
    </row>
    <row r="31" spans="1:39" s="8" customFormat="1" x14ac:dyDescent="0.2">
      <c r="C31" s="8" t="s">
        <v>134</v>
      </c>
      <c r="E31" s="21"/>
      <c r="F31" s="21"/>
      <c r="G31" s="21"/>
      <c r="H31" s="8">
        <f t="shared" ref="H31:Q31" si="6">COUNTA(H2:H30)+COUNTBLANK(H2:H30)</f>
        <v>29</v>
      </c>
      <c r="I31" s="8">
        <f t="shared" si="6"/>
        <v>29</v>
      </c>
      <c r="J31" s="8">
        <f t="shared" si="6"/>
        <v>29</v>
      </c>
      <c r="K31" s="8">
        <f t="shared" si="6"/>
        <v>29</v>
      </c>
      <c r="L31" s="8">
        <f t="shared" si="6"/>
        <v>29</v>
      </c>
      <c r="M31" s="8">
        <f t="shared" si="6"/>
        <v>29</v>
      </c>
      <c r="N31" s="8">
        <f t="shared" si="6"/>
        <v>29</v>
      </c>
      <c r="O31" s="8">
        <f t="shared" si="6"/>
        <v>29</v>
      </c>
      <c r="P31" s="8">
        <f t="shared" si="6"/>
        <v>29</v>
      </c>
      <c r="Q31" s="8">
        <f t="shared" si="6"/>
        <v>29</v>
      </c>
    </row>
    <row r="32" spans="1:39" s="17" customFormat="1" x14ac:dyDescent="0.2">
      <c r="C32" s="17" t="s">
        <v>193</v>
      </c>
      <c r="E32" s="20"/>
      <c r="F32" s="20"/>
      <c r="G32" s="20"/>
      <c r="H32" s="17" cm="1">
        <f t="array" ref="H32">SUMPRODUCT(--(LEN(H2:H30)&gt;1))</f>
        <v>16</v>
      </c>
      <c r="I32" s="17" cm="1">
        <f t="array" ref="I32">SUMPRODUCT(--(LEN(I2:I30)&gt;1))</f>
        <v>20</v>
      </c>
      <c r="J32" s="17" cm="1">
        <f t="array" ref="J32">SUMPRODUCT(--(LEN(J2:J30)&gt;1))</f>
        <v>21</v>
      </c>
      <c r="K32" s="17" cm="1">
        <f t="array" ref="K32">SUMPRODUCT(--(LEN(K2:K30)&gt;1))</f>
        <v>26</v>
      </c>
      <c r="L32" s="17" cm="1">
        <f t="array" ref="L32">SUMPRODUCT(--(LEN(L2:L30)&gt;1))</f>
        <v>19</v>
      </c>
      <c r="M32" s="17" cm="1">
        <f t="array" ref="M32">SUMPRODUCT(--(LEN(M2:M30)&gt;1))</f>
        <v>16</v>
      </c>
      <c r="N32" s="17" cm="1">
        <f t="array" ref="N32">SUMPRODUCT(--(LEN(N2:N30)&gt;1))</f>
        <v>16</v>
      </c>
      <c r="O32" s="17" cm="1">
        <f t="array" ref="O32">SUMPRODUCT(--(LEN(O2:O30)&gt;1))</f>
        <v>28</v>
      </c>
      <c r="P32" s="17" cm="1">
        <f t="array" ref="P32">SUMPRODUCT(--(LEN(P2:P30)&gt;1))</f>
        <v>23</v>
      </c>
      <c r="Q32" s="17" cm="1">
        <f t="array" ref="Q32">SUMPRODUCT(--(LEN(Q2:Q30)&gt;1))</f>
        <v>18</v>
      </c>
      <c r="S32" s="17">
        <f t="shared" ref="S32:AD32" si="7">SUM(S2:S30)</f>
        <v>103</v>
      </c>
      <c r="T32" s="17">
        <f t="shared" si="7"/>
        <v>87</v>
      </c>
      <c r="U32" s="17">
        <f t="shared" si="7"/>
        <v>61</v>
      </c>
      <c r="V32" s="17">
        <f t="shared" si="7"/>
        <v>19</v>
      </c>
      <c r="W32" s="17">
        <f t="shared" si="7"/>
        <v>11</v>
      </c>
      <c r="X32" s="17">
        <f t="shared" si="7"/>
        <v>2</v>
      </c>
      <c r="Y32" s="17">
        <f t="shared" si="7"/>
        <v>5</v>
      </c>
      <c r="Z32" s="17">
        <f t="shared" si="7"/>
        <v>2</v>
      </c>
      <c r="AA32" s="17">
        <f t="shared" si="7"/>
        <v>0</v>
      </c>
      <c r="AB32" s="17">
        <f t="shared" si="7"/>
        <v>2</v>
      </c>
      <c r="AC32" s="17">
        <f t="shared" si="7"/>
        <v>0</v>
      </c>
      <c r="AD32" s="17">
        <f t="shared" si="7"/>
        <v>1</v>
      </c>
    </row>
    <row r="33" spans="3:30" s="8" customFormat="1" x14ac:dyDescent="0.2">
      <c r="C33" s="8" t="s">
        <v>135</v>
      </c>
      <c r="E33" s="21"/>
      <c r="F33" s="21"/>
      <c r="G33" s="21"/>
      <c r="H33" s="8">
        <f>H31-H32</f>
        <v>13</v>
      </c>
      <c r="I33" s="8">
        <f t="shared" ref="I33:Q33" si="8">I31-I32</f>
        <v>9</v>
      </c>
      <c r="J33" s="8">
        <f t="shared" si="8"/>
        <v>8</v>
      </c>
      <c r="K33" s="8">
        <f t="shared" si="8"/>
        <v>3</v>
      </c>
      <c r="L33" s="8">
        <f t="shared" si="8"/>
        <v>10</v>
      </c>
      <c r="M33" s="8">
        <f t="shared" si="8"/>
        <v>13</v>
      </c>
      <c r="N33" s="8">
        <f t="shared" si="8"/>
        <v>13</v>
      </c>
      <c r="O33" s="8">
        <f t="shared" si="8"/>
        <v>1</v>
      </c>
      <c r="P33" s="8">
        <f t="shared" si="8"/>
        <v>6</v>
      </c>
      <c r="Q33" s="8">
        <f t="shared" si="8"/>
        <v>11</v>
      </c>
    </row>
    <row r="34" spans="3:30" s="8" customFormat="1" x14ac:dyDescent="0.2">
      <c r="C34" s="8" t="s">
        <v>136</v>
      </c>
      <c r="D34" s="30"/>
      <c r="E34" s="32"/>
      <c r="F34" s="32"/>
      <c r="G34" s="32"/>
      <c r="H34" s="30">
        <f>H32/H31</f>
        <v>0.55172413793103448</v>
      </c>
      <c r="I34" s="30">
        <f t="shared" ref="I34:Q34" si="9">I32/I31</f>
        <v>0.68965517241379315</v>
      </c>
      <c r="J34" s="30">
        <f t="shared" si="9"/>
        <v>0.72413793103448276</v>
      </c>
      <c r="K34" s="30">
        <f t="shared" si="9"/>
        <v>0.89655172413793105</v>
      </c>
      <c r="L34" s="30">
        <f t="shared" si="9"/>
        <v>0.65517241379310343</v>
      </c>
      <c r="M34" s="30">
        <f t="shared" si="9"/>
        <v>0.55172413793103448</v>
      </c>
      <c r="N34" s="30">
        <f t="shared" si="9"/>
        <v>0.55172413793103448</v>
      </c>
      <c r="O34" s="30">
        <f t="shared" si="9"/>
        <v>0.96551724137931039</v>
      </c>
      <c r="P34" s="30">
        <f t="shared" si="9"/>
        <v>0.7931034482758621</v>
      </c>
      <c r="Q34" s="30">
        <f t="shared" si="9"/>
        <v>0.62068965517241381</v>
      </c>
      <c r="U34" s="8">
        <f t="shared" ref="U34:AD34" si="10">U32*AH1</f>
        <v>61</v>
      </c>
      <c r="V34" s="8">
        <f t="shared" si="10"/>
        <v>38</v>
      </c>
      <c r="W34" s="8">
        <f t="shared" si="10"/>
        <v>33</v>
      </c>
      <c r="X34" s="8">
        <f t="shared" si="10"/>
        <v>8</v>
      </c>
      <c r="Y34" s="8">
        <f t="shared" si="10"/>
        <v>25</v>
      </c>
      <c r="Z34" s="8">
        <f t="shared" si="10"/>
        <v>12</v>
      </c>
      <c r="AA34" s="8">
        <f t="shared" si="10"/>
        <v>0</v>
      </c>
      <c r="AB34" s="8">
        <f t="shared" si="10"/>
        <v>16</v>
      </c>
      <c r="AC34" s="8">
        <f t="shared" si="10"/>
        <v>0</v>
      </c>
      <c r="AD34" s="8">
        <f t="shared" si="10"/>
        <v>10</v>
      </c>
    </row>
    <row r="35" spans="3:30" s="8" customFormat="1" x14ac:dyDescent="0.2">
      <c r="C35" s="17" t="s">
        <v>194</v>
      </c>
      <c r="D35" s="31">
        <f>MAX(H34:Q34)</f>
        <v>0.96551724137931039</v>
      </c>
      <c r="E35" s="32"/>
      <c r="F35" s="32"/>
      <c r="G35" s="32"/>
      <c r="H35" s="30"/>
      <c r="I35" s="30"/>
      <c r="J35" s="30"/>
      <c r="K35" s="30"/>
      <c r="L35" s="30"/>
      <c r="M35" s="30"/>
      <c r="N35" s="30"/>
      <c r="O35" s="30"/>
      <c r="P35" s="30"/>
      <c r="Q35" s="30"/>
    </row>
    <row r="36" spans="3:30" s="8" customFormat="1" x14ac:dyDescent="0.2">
      <c r="C36" s="17" t="s">
        <v>195</v>
      </c>
      <c r="D36" s="31">
        <f>AVERAGE(H34:Q34)</f>
        <v>0.70000000000000007</v>
      </c>
      <c r="E36" s="32"/>
      <c r="F36" s="32"/>
      <c r="G36" s="32"/>
      <c r="H36" s="30"/>
      <c r="I36" s="30"/>
      <c r="J36" s="30"/>
      <c r="K36" s="30"/>
      <c r="L36" s="30"/>
      <c r="M36" s="30"/>
      <c r="N36" s="30"/>
      <c r="O36" s="30"/>
      <c r="P36" s="30"/>
      <c r="Q36" s="30"/>
      <c r="U36" s="18"/>
    </row>
    <row r="37" spans="3:30" s="8" customFormat="1" x14ac:dyDescent="0.2">
      <c r="C37" s="17" t="s">
        <v>196</v>
      </c>
      <c r="D37" s="19">
        <f>(U32*0.5+V32*1.5+W32*2.5+X32*3.5+Y32*4.5+Z32*5.5+AA32*6.5+AB32*7.5+AC32*8.5+AD32*9.5)/S32</f>
        <v>1.470873786407767</v>
      </c>
      <c r="E37" s="21"/>
      <c r="F37" s="21"/>
      <c r="G37" s="21"/>
    </row>
    <row r="38" spans="3:30" s="8" customFormat="1" x14ac:dyDescent="0.2">
      <c r="C38" s="17" t="s">
        <v>197</v>
      </c>
      <c r="D38" s="31">
        <f>SUMPRODUCT(AF2:AF30,S2:S30)/S32</f>
        <v>0.22330097087378642</v>
      </c>
      <c r="E38" s="21"/>
      <c r="F38" s="21"/>
      <c r="G38" s="21"/>
    </row>
  </sheetData>
  <dataValidations count="13">
    <dataValidation allowBlank="1" showInputMessage="1" showErrorMessage="1" promptTitle="Inventory notes" prompt="A column is reserved for taking notes during data collection." sqref="G1" xr:uid="{E9BEC10B-1126-41F5-BB53-879741042D5E}"/>
    <dataValidation allowBlank="1" showInputMessage="1" showErrorMessage="1" promptTitle="Facility number" prompt="A unique alphanumberic identifier for each blockface or parking lot. This can later be used to join the data with a GID dataset if desired. " sqref="A1" xr:uid="{4B7F647E-A489-4723-8AA7-B6325BF49E31}"/>
    <dataValidation allowBlank="1" showInputMessage="1" showErrorMessage="1" promptTitle="Stall number" prompt="Stalls on each blockface are numbered based on the order they will be observed. Ensure to restart this at 1 for each new blockface. " sqref="B1" xr:uid="{A7E45BBC-2F8D-43F7-8C35-4814B409E7F3}"/>
    <dataValidation allowBlank="1" showInputMessage="1" showErrorMessage="1" promptTitle="Description" prompt="Plain-language description of the block face or parking lot. " sqref="C1" xr:uid="{BC471DA8-68EC-4675-967F-363DE40016E2}"/>
    <dataValidation allowBlank="1" showInputMessage="1" showErrorMessage="1" promptTitle="Stall type" prompt="A short alphanumeric character indicating the management type (e.g., ADA, 2-hour, etc.) of the stall." sqref="D1" xr:uid="{D2EDD01E-5E0D-4B91-B6C9-4492584AFF2B}"/>
    <dataValidation allowBlank="1" showInputMessage="1" showErrorMessage="1" promptTitle="Properties" prompt="Properties of the stall, such as whether it is striped or metered. Add or delete columns as necessary." sqref="E1:F1" xr:uid="{BFE61287-C334-447B-9B16-5B44B935ED39}"/>
    <dataValidation allowBlank="1" showInputMessage="1" showErrorMessage="1" promptTitle="Hourly demand observations" prompt="The license plate number (or a portion thereof) of the vehicle parked in the stall when observed. Leave blank if empty. Add, subtract, or change column headers as needed, noting that you may need to update the calculations to the right accordingly. " sqref="H1:Q1" xr:uid="{4AD109E0-E269-45A7-A71F-8531CB1AAE2D}"/>
    <dataValidation allowBlank="1" showInputMessage="1" showErrorMessage="1" promptTitle="Calculations" prompt="These cells are used for calculating time stays. These fields will update automatically. " sqref="AG1:AR1" xr:uid="{6A9E0C5D-C9EB-43BE-BA4C-5F2BBFFE1DF1}"/>
    <dataValidation allowBlank="1" showInputMessage="1" showErrorMessage="1" promptTitle="Percent overstays" prompt="The percentage of vehicles staying over an assumed 2-hr limit. To change the time limit, the first column after the work 'SUM' should correspond to the first illegal time stay to the left. So changing to &quot;...SUM(Y2:AD2)/S2&quot; would assume a 4-hr time limit." sqref="AF1" xr:uid="{29717D9B-2907-4A08-AFF7-802D665C362D}"/>
    <dataValidation allowBlank="1" showInputMessage="1" showErrorMessage="1" promptTitle="Stay times" prompt="The number of vehicles observed to stay for each indicated time bin." sqref="U1:AD1" xr:uid="{0468ED15-3930-42EA-A2D0-DC68D5F52A4C}"/>
    <dataValidation allowBlank="1" showInputMessage="1" showErrorMessage="1" promptTitle="Demand notes." prompt="An additional column is reserved for taking notes during data collection. " sqref="R1" xr:uid="{A89520C6-90E6-4E2F-84BA-4F0D6A05F932}"/>
    <dataValidation allowBlank="1" showInputMessage="1" showErrorMessage="1" promptTitle="Unique vehicles" prompt="The total number of unique vehicles observed to utilize the given stall." sqref="S1" xr:uid="{E0E85207-3822-4F26-99E4-980A348A2B20}"/>
    <dataValidation allowBlank="1" showInputMessage="1" showErrorMessage="1" promptTitle="Empty observations" prompt="The number of observations during which the given stall was observed to be empty." sqref="T1" xr:uid="{D6E67B45-435E-468B-9E40-D4BFE2B0CB1E}"/>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F936B-857A-4970-9D21-B0878D566663}">
  <dimension ref="A1:AH216"/>
  <sheetViews>
    <sheetView zoomScale="90" zoomScaleNormal="90" workbookViewId="0">
      <selection activeCell="G23" sqref="G23"/>
    </sheetView>
  </sheetViews>
  <sheetFormatPr defaultRowHeight="15" x14ac:dyDescent="0.25"/>
  <cols>
    <col min="1" max="1" width="17.7109375" customWidth="1"/>
    <col min="2" max="2" width="14.140625" customWidth="1"/>
    <col min="3" max="3" width="28.140625" customWidth="1"/>
    <col min="4" max="13" width="8.7109375" customWidth="1"/>
    <col min="24" max="24" width="16.42578125" customWidth="1"/>
  </cols>
  <sheetData>
    <row r="1" spans="1:34" s="23" customFormat="1" ht="13.5" x14ac:dyDescent="0.25">
      <c r="A1" s="8" t="s">
        <v>11</v>
      </c>
      <c r="B1" s="8" t="s">
        <v>198</v>
      </c>
      <c r="C1" s="8" t="s">
        <v>13</v>
      </c>
      <c r="D1" s="15" t="s">
        <v>141</v>
      </c>
      <c r="E1" s="15" t="s">
        <v>142</v>
      </c>
      <c r="F1" s="15" t="s">
        <v>143</v>
      </c>
      <c r="G1" s="15" t="s">
        <v>144</v>
      </c>
      <c r="H1" s="15" t="s">
        <v>145</v>
      </c>
      <c r="I1" s="15" t="s">
        <v>146</v>
      </c>
      <c r="J1" s="15" t="s">
        <v>160</v>
      </c>
      <c r="K1" s="15" t="s">
        <v>161</v>
      </c>
      <c r="L1" s="15" t="s">
        <v>162</v>
      </c>
      <c r="M1" s="15" t="s">
        <v>163</v>
      </c>
      <c r="N1" s="15" t="s">
        <v>172</v>
      </c>
      <c r="O1" s="15" t="s">
        <v>173</v>
      </c>
      <c r="P1" s="15" t="s">
        <v>174</v>
      </c>
      <c r="Q1" s="15" t="s">
        <v>175</v>
      </c>
      <c r="R1" s="15" t="s">
        <v>176</v>
      </c>
      <c r="S1" s="15" t="s">
        <v>177</v>
      </c>
      <c r="T1" s="15" t="s">
        <v>178</v>
      </c>
      <c r="U1" s="15" t="s">
        <v>179</v>
      </c>
      <c r="V1" s="15" t="s">
        <v>180</v>
      </c>
      <c r="W1" s="15" t="s">
        <v>181</v>
      </c>
      <c r="X1" s="8" t="s">
        <v>25</v>
      </c>
      <c r="Y1" s="23" t="s">
        <v>229</v>
      </c>
      <c r="Z1" s="23" t="s">
        <v>230</v>
      </c>
      <c r="AA1" s="23" t="s">
        <v>231</v>
      </c>
      <c r="AB1" s="23" t="s">
        <v>232</v>
      </c>
      <c r="AC1" s="23" t="s">
        <v>233</v>
      </c>
      <c r="AD1" s="23" t="s">
        <v>234</v>
      </c>
      <c r="AE1" s="23" t="s">
        <v>235</v>
      </c>
      <c r="AF1" s="23" t="s">
        <v>236</v>
      </c>
      <c r="AG1" s="23" t="s">
        <v>237</v>
      </c>
      <c r="AH1" s="23" t="s">
        <v>238</v>
      </c>
    </row>
    <row r="2" spans="1:34" x14ac:dyDescent="0.25">
      <c r="A2" t="s">
        <v>199</v>
      </c>
      <c r="B2">
        <f>COUNTIF(Turnover!A:A,A2)</f>
        <v>5</v>
      </c>
      <c r="C2" t="str">
        <f>(_xlfn.XLOOKUP(A2,Turnover!A:A,Turnover!C:C,"not entered"))</f>
        <v>N Side 1st from Ash to Main</v>
      </c>
      <c r="D2">
        <f>COUNTIFS(Turnover!$A:$A,$A2,Turnover!H:H,"&lt;&gt;"&amp;"")</f>
        <v>2</v>
      </c>
      <c r="E2">
        <f>COUNTIFS(Turnover!$A:$A,$A2,Turnover!I:I,"&lt;&gt;"&amp;"")</f>
        <v>3</v>
      </c>
      <c r="F2">
        <f>COUNTIFS(Turnover!$A:$A,$A2,Turnover!J:J,"&lt;&gt;"&amp;"")</f>
        <v>5</v>
      </c>
      <c r="G2">
        <f>COUNTIFS(Turnover!$A:$A,$A2,Turnover!K:K,"&lt;&gt;"&amp;"")</f>
        <v>4</v>
      </c>
      <c r="H2">
        <f>COUNTIFS(Turnover!$A:$A,$A2,Turnover!L:L,"&lt;&gt;"&amp;"")</f>
        <v>3</v>
      </c>
      <c r="I2">
        <f>COUNTIFS(Turnover!$A:$A,$A2,Turnover!M:M,"&lt;&gt;"&amp;"")</f>
        <v>4</v>
      </c>
      <c r="J2">
        <f>COUNTIFS(Turnover!$A:$A,$A2,Turnover!N:N,"&lt;&gt;"&amp;"")</f>
        <v>4</v>
      </c>
      <c r="K2">
        <f>COUNTIFS(Turnover!$A:$A,$A2,Turnover!O:O,"&lt;&gt;"&amp;"")</f>
        <v>4</v>
      </c>
      <c r="L2">
        <f>COUNTIFS(Turnover!$A:$A,$A2,Turnover!P:P,"&lt;&gt;"&amp;"")</f>
        <v>3</v>
      </c>
      <c r="M2">
        <f>COUNTIFS(Turnover!$A:$A,$A2,Turnover!Q:Q,"&lt;&gt;"&amp;"")</f>
        <v>2</v>
      </c>
      <c r="N2" s="34">
        <f>D2/$B2</f>
        <v>0.4</v>
      </c>
      <c r="O2" s="34">
        <f t="shared" ref="O2:W2" si="0">E2/$B2</f>
        <v>0.6</v>
      </c>
      <c r="P2" s="34">
        <f t="shared" si="0"/>
        <v>1</v>
      </c>
      <c r="Q2" s="34">
        <f t="shared" si="0"/>
        <v>0.8</v>
      </c>
      <c r="R2" s="34">
        <f t="shared" si="0"/>
        <v>0.6</v>
      </c>
      <c r="S2" s="34">
        <f t="shared" si="0"/>
        <v>0.8</v>
      </c>
      <c r="T2" s="34">
        <f t="shared" si="0"/>
        <v>0.8</v>
      </c>
      <c r="U2" s="34">
        <f t="shared" si="0"/>
        <v>0.8</v>
      </c>
      <c r="V2" s="34">
        <f t="shared" si="0"/>
        <v>0.6</v>
      </c>
      <c r="W2" s="34">
        <f t="shared" si="0"/>
        <v>0.4</v>
      </c>
      <c r="X2" s="10">
        <f>SUMIF(Turnover!A:A,TurnoverGIS!A2,Turnover!S:S)</f>
        <v>9</v>
      </c>
      <c r="Y2">
        <f>SUMIF(Turnover!$A:$A,TurnoverGIS!$A2,Turnover!U:U)</f>
        <v>3</v>
      </c>
      <c r="Z2">
        <f>SUMIF(Turnover!$A:$A,TurnoverGIS!$A2,Turnover!V:V)</f>
        <v>2</v>
      </c>
      <c r="AA2">
        <f>SUMIF(Turnover!$A:$A,TurnoverGIS!$A2,Turnover!W:W)</f>
        <v>0</v>
      </c>
      <c r="AB2">
        <f>SUMIF(Turnover!$A:$A,TurnoverGIS!$A2,Turnover!X:X)</f>
        <v>1</v>
      </c>
      <c r="AC2">
        <f>SUMIF(Turnover!$A:$A,TurnoverGIS!$A2,Turnover!Y:Y)</f>
        <v>1</v>
      </c>
      <c r="AD2">
        <f>SUMIF(Turnover!$A:$A,TurnoverGIS!$A2,Turnover!Z:Z)</f>
        <v>0</v>
      </c>
      <c r="AE2">
        <f>SUMIF(Turnover!$A:$A,TurnoverGIS!$A2,Turnover!AA:AA)</f>
        <v>0</v>
      </c>
      <c r="AF2">
        <f>SUMIF(Turnover!$A:$A,TurnoverGIS!$A2,Turnover!AB:AB)</f>
        <v>1</v>
      </c>
      <c r="AG2">
        <f>SUMIF(Turnover!$A:$A,TurnoverGIS!$A2,Turnover!AC:AC)</f>
        <v>0</v>
      </c>
      <c r="AH2">
        <f>SUMIF(Turnover!$A:$A,TurnoverGIS!$A2,Turnover!AD:AD)</f>
        <v>1</v>
      </c>
    </row>
    <row r="3" spans="1:34" x14ac:dyDescent="0.25">
      <c r="A3" t="s">
        <v>200</v>
      </c>
      <c r="B3">
        <f>COUNTIF(Turnover!A:A,A3)</f>
        <v>16</v>
      </c>
      <c r="C3" t="str">
        <f>(_xlfn.XLOOKUP(A3,Turnover!A:A,Turnover!C:C,"not entered"))</f>
        <v>E Side Main from 1st to 2nd</v>
      </c>
      <c r="D3">
        <f>COUNTIFS(Turnover!A:A,A3,Turnover!H:H,"&lt;&gt;"&amp;"")</f>
        <v>11</v>
      </c>
      <c r="E3">
        <f>COUNTIFS(Turnover!$A:$A,$A3,Turnover!I:I,"&lt;&gt;"&amp;"")</f>
        <v>15</v>
      </c>
      <c r="F3">
        <f>COUNTIFS(Turnover!$A:$A,$A3,Turnover!J:J,"&lt;&gt;"&amp;"")</f>
        <v>10</v>
      </c>
      <c r="G3">
        <f>COUNTIFS(Turnover!$A:$A,$A3,Turnover!K:K,"&lt;&gt;"&amp;"")</f>
        <v>15</v>
      </c>
      <c r="H3">
        <f>COUNTIFS(Turnover!$A:$A,$A3,Turnover!L:L,"&lt;&gt;"&amp;"")</f>
        <v>11</v>
      </c>
      <c r="I3">
        <f>COUNTIFS(Turnover!$A:$A,$A3,Turnover!M:M,"&lt;&gt;"&amp;"")</f>
        <v>8</v>
      </c>
      <c r="J3">
        <f>COUNTIFS(Turnover!$A:$A,$A3,Turnover!N:N,"&lt;&gt;"&amp;"")</f>
        <v>8</v>
      </c>
      <c r="K3">
        <f>COUNTIFS(Turnover!$A:$A,$A3,Turnover!O:O,"&lt;&gt;"&amp;"")</f>
        <v>16</v>
      </c>
      <c r="L3">
        <f>COUNTIFS(Turnover!$A:$A,$A3,Turnover!P:P,"&lt;&gt;"&amp;"")</f>
        <v>15</v>
      </c>
      <c r="M3">
        <f>COUNTIFS(Turnover!$A:$A,$A3,Turnover!Q:Q,"&lt;&gt;"&amp;"")</f>
        <v>11</v>
      </c>
      <c r="N3" s="34">
        <f t="shared" ref="N3:N4" si="1">D3/$B3</f>
        <v>0.6875</v>
      </c>
      <c r="O3" s="34">
        <f t="shared" ref="O3:O4" si="2">E3/$B3</f>
        <v>0.9375</v>
      </c>
      <c r="P3" s="34">
        <f t="shared" ref="P3:P4" si="3">F3/$B3</f>
        <v>0.625</v>
      </c>
      <c r="Q3" s="34">
        <f t="shared" ref="Q3:Q4" si="4">G3/$B3</f>
        <v>0.9375</v>
      </c>
      <c r="R3" s="34">
        <f t="shared" ref="R3:R4" si="5">H3/$B3</f>
        <v>0.6875</v>
      </c>
      <c r="S3" s="34">
        <f t="shared" ref="S3:S4" si="6">I3/$B3</f>
        <v>0.5</v>
      </c>
      <c r="T3" s="34">
        <f t="shared" ref="T3:T4" si="7">J3/$B3</f>
        <v>0.5</v>
      </c>
      <c r="U3" s="34">
        <f t="shared" ref="U3:U4" si="8">K3/$B3</f>
        <v>1</v>
      </c>
      <c r="V3" s="34">
        <f t="shared" ref="V3:V4" si="9">L3/$B3</f>
        <v>0.9375</v>
      </c>
      <c r="W3" s="34">
        <f t="shared" ref="W3:W4" si="10">M3/$B3</f>
        <v>0.6875</v>
      </c>
      <c r="X3" s="10">
        <f>SUMIF(Turnover!A:A,TurnoverGIS!A3,Turnover!S:S)</f>
        <v>65</v>
      </c>
      <c r="Y3">
        <f>SUMIF(Turnover!$A:$A,TurnoverGIS!$A3,Turnover!U:U)</f>
        <v>39</v>
      </c>
      <c r="Z3">
        <f>SUMIF(Turnover!$A:$A,TurnoverGIS!$A3,Turnover!V:V)</f>
        <v>13</v>
      </c>
      <c r="AA3">
        <f>SUMIF(Turnover!$A:$A,TurnoverGIS!$A3,Turnover!W:W)</f>
        <v>7</v>
      </c>
      <c r="AB3">
        <f>SUMIF(Turnover!$A:$A,TurnoverGIS!$A3,Turnover!X:X)</f>
        <v>1</v>
      </c>
      <c r="AC3">
        <f>SUMIF(Turnover!$A:$A,TurnoverGIS!$A3,Turnover!Y:Y)</f>
        <v>2</v>
      </c>
      <c r="AD3">
        <f>SUMIF(Turnover!$A:$A,TurnoverGIS!$A3,Turnover!Z:Z)</f>
        <v>2</v>
      </c>
      <c r="AE3">
        <f>SUMIF(Turnover!$A:$A,TurnoverGIS!$A3,Turnover!AA:AA)</f>
        <v>0</v>
      </c>
      <c r="AF3">
        <f>SUMIF(Turnover!$A:$A,TurnoverGIS!$A3,Turnover!AB:AB)</f>
        <v>1</v>
      </c>
      <c r="AG3">
        <f>SUMIF(Turnover!$A:$A,TurnoverGIS!$A3,Turnover!AC:AC)</f>
        <v>0</v>
      </c>
      <c r="AH3">
        <f>SUMIF(Turnover!$A:$A,TurnoverGIS!$A3,Turnover!AD:AD)</f>
        <v>0</v>
      </c>
    </row>
    <row r="4" spans="1:34" x14ac:dyDescent="0.25">
      <c r="A4" t="s">
        <v>201</v>
      </c>
      <c r="B4">
        <f>COUNTIF(Turnover!A:A,A4)</f>
        <v>8</v>
      </c>
      <c r="C4" t="str">
        <f>(_xlfn.XLOOKUP(A4,Turnover!A:A,Turnover!C:C,"not entered"))</f>
        <v>Lot on 2nd and Main</v>
      </c>
      <c r="D4">
        <f>COUNTIFS(Turnover!A:A,A4,Turnover!H:H,"&lt;&gt;"&amp;"")</f>
        <v>3</v>
      </c>
      <c r="E4">
        <f>COUNTIFS(Turnover!$A:$A,$A4,Turnover!I:I,"&lt;&gt;"&amp;"")</f>
        <v>2</v>
      </c>
      <c r="F4">
        <f>COUNTIFS(Turnover!$A:$A,$A4,Turnover!J:J,"&lt;&gt;"&amp;"")</f>
        <v>6</v>
      </c>
      <c r="G4">
        <f>COUNTIFS(Turnover!$A:$A,$A4,Turnover!K:K,"&lt;&gt;"&amp;"")</f>
        <v>7</v>
      </c>
      <c r="H4">
        <f>COUNTIFS(Turnover!$A:$A,$A4,Turnover!L:L,"&lt;&gt;"&amp;"")</f>
        <v>5</v>
      </c>
      <c r="I4">
        <f>COUNTIFS(Turnover!$A:$A,$A4,Turnover!M:M,"&lt;&gt;"&amp;"")</f>
        <v>4</v>
      </c>
      <c r="J4">
        <f>COUNTIFS(Turnover!$A:$A,$A4,Turnover!N:N,"&lt;&gt;"&amp;"")</f>
        <v>4</v>
      </c>
      <c r="K4">
        <f>COUNTIFS(Turnover!$A:$A,$A4,Turnover!O:O,"&lt;&gt;"&amp;"")</f>
        <v>8</v>
      </c>
      <c r="L4">
        <f>COUNTIFS(Turnover!$A:$A,$A4,Turnover!P:P,"&lt;&gt;"&amp;"")</f>
        <v>5</v>
      </c>
      <c r="M4">
        <f>COUNTIFS(Turnover!$A:$A,$A4,Turnover!Q:Q,"&lt;&gt;"&amp;"")</f>
        <v>5</v>
      </c>
      <c r="N4" s="34">
        <f t="shared" si="1"/>
        <v>0.375</v>
      </c>
      <c r="O4" s="34">
        <f t="shared" si="2"/>
        <v>0.25</v>
      </c>
      <c r="P4" s="34">
        <f t="shared" si="3"/>
        <v>0.75</v>
      </c>
      <c r="Q4" s="34">
        <f t="shared" si="4"/>
        <v>0.875</v>
      </c>
      <c r="R4" s="34">
        <f t="shared" si="5"/>
        <v>0.625</v>
      </c>
      <c r="S4" s="34">
        <f t="shared" si="6"/>
        <v>0.5</v>
      </c>
      <c r="T4" s="34">
        <f t="shared" si="7"/>
        <v>0.5</v>
      </c>
      <c r="U4" s="34">
        <f t="shared" si="8"/>
        <v>1</v>
      </c>
      <c r="V4" s="34">
        <f t="shared" si="9"/>
        <v>0.625</v>
      </c>
      <c r="W4" s="34">
        <f t="shared" si="10"/>
        <v>0.625</v>
      </c>
      <c r="X4" s="10">
        <f>SUMIF(Turnover!A:A,TurnoverGIS!A4,Turnover!S:S)</f>
        <v>29</v>
      </c>
      <c r="Y4">
        <f>SUMIF(Turnover!$A:$A,TurnoverGIS!$A4,Turnover!U:U)</f>
        <v>19</v>
      </c>
      <c r="Z4">
        <f>SUMIF(Turnover!$A:$A,TurnoverGIS!$A4,Turnover!V:V)</f>
        <v>4</v>
      </c>
      <c r="AA4">
        <f>SUMIF(Turnover!$A:$A,TurnoverGIS!$A4,Turnover!W:W)</f>
        <v>4</v>
      </c>
      <c r="AB4">
        <f>SUMIF(Turnover!$A:$A,TurnoverGIS!$A4,Turnover!X:X)</f>
        <v>0</v>
      </c>
      <c r="AC4">
        <f>SUMIF(Turnover!$A:$A,TurnoverGIS!$A4,Turnover!Y:Y)</f>
        <v>2</v>
      </c>
      <c r="AD4">
        <f>SUMIF(Turnover!$A:$A,TurnoverGIS!$A4,Turnover!Z:Z)</f>
        <v>0</v>
      </c>
      <c r="AE4">
        <f>SUMIF(Turnover!$A:$A,TurnoverGIS!$A4,Turnover!AA:AA)</f>
        <v>0</v>
      </c>
      <c r="AF4">
        <f>SUMIF(Turnover!$A:$A,TurnoverGIS!$A4,Turnover!AB:AB)</f>
        <v>0</v>
      </c>
      <c r="AG4">
        <f>SUMIF(Turnover!$A:$A,TurnoverGIS!$A4,Turnover!AC:AC)</f>
        <v>0</v>
      </c>
      <c r="AH4">
        <f>SUMIF(Turnover!$A:$A,TurnoverGIS!$A4,Turnover!AD:AD)</f>
        <v>0</v>
      </c>
    </row>
    <row r="5" spans="1:34" x14ac:dyDescent="0.25">
      <c r="A5" t="s">
        <v>202</v>
      </c>
      <c r="B5">
        <f>COUNTIF(Turnover!A:A,A5)</f>
        <v>0</v>
      </c>
      <c r="C5" t="str">
        <f>(_xlfn.XLOOKUP(A5,Turnover!A:A,Turnover!C:C,"not entered"))</f>
        <v>not entered</v>
      </c>
      <c r="N5" s="36"/>
      <c r="O5" s="36"/>
      <c r="P5" s="36"/>
      <c r="Q5" s="36"/>
      <c r="R5" s="36"/>
      <c r="S5" s="36"/>
      <c r="T5" s="36"/>
      <c r="U5" s="36"/>
      <c r="V5" s="36"/>
      <c r="W5" s="36"/>
      <c r="X5" s="10"/>
    </row>
    <row r="6" spans="1:34" x14ac:dyDescent="0.25">
      <c r="A6" t="s">
        <v>203</v>
      </c>
      <c r="B6">
        <f>COUNTIF(Turnover!A:A,A6)</f>
        <v>0</v>
      </c>
      <c r="C6" t="str">
        <f>(_xlfn.XLOOKUP(A6,Turnover!A:A,Turnover!C:C,"not entered"))</f>
        <v>not entered</v>
      </c>
      <c r="N6" s="36"/>
      <c r="O6" s="36"/>
      <c r="P6" s="36"/>
      <c r="Q6" s="36"/>
      <c r="R6" s="36"/>
      <c r="S6" s="36"/>
      <c r="T6" s="36"/>
      <c r="U6" s="36"/>
      <c r="V6" s="36"/>
      <c r="W6" s="36"/>
      <c r="X6" s="10"/>
    </row>
    <row r="7" spans="1:34" x14ac:dyDescent="0.25">
      <c r="A7" t="s">
        <v>204</v>
      </c>
      <c r="B7">
        <f>COUNTIF(Turnover!A:A,A7)</f>
        <v>0</v>
      </c>
      <c r="C7" t="str">
        <f>(_xlfn.XLOOKUP(A7,Turnover!A:A,Turnover!C:C,"not entered"))</f>
        <v>not entered</v>
      </c>
      <c r="N7" s="36"/>
      <c r="O7" s="36"/>
      <c r="P7" s="36"/>
      <c r="Q7" s="36"/>
      <c r="R7" s="36"/>
      <c r="S7" s="36"/>
      <c r="T7" s="36"/>
      <c r="U7" s="36"/>
      <c r="V7" s="36"/>
      <c r="W7" s="36"/>
      <c r="X7" s="10"/>
    </row>
    <row r="8" spans="1:34" x14ac:dyDescent="0.25">
      <c r="A8" t="s">
        <v>205</v>
      </c>
      <c r="B8">
        <f>COUNTIF(Turnover!A:A,A8)</f>
        <v>0</v>
      </c>
      <c r="C8" t="str">
        <f>(_xlfn.XLOOKUP(A8,Turnover!A:A,Turnover!C:C,"not entered"))</f>
        <v>not entered</v>
      </c>
      <c r="N8" s="36"/>
      <c r="O8" s="36"/>
      <c r="P8" s="36"/>
      <c r="Q8" s="36"/>
      <c r="R8" s="36"/>
      <c r="S8" s="36"/>
      <c r="T8" s="36"/>
      <c r="U8" s="36"/>
      <c r="V8" s="36"/>
      <c r="W8" s="36"/>
      <c r="X8" s="10"/>
    </row>
    <row r="9" spans="1:34" x14ac:dyDescent="0.25">
      <c r="A9" t="s">
        <v>206</v>
      </c>
      <c r="B9">
        <f>COUNTIF(Turnover!A:A,A9)</f>
        <v>0</v>
      </c>
      <c r="C9" t="str">
        <f>(_xlfn.XLOOKUP(A9,Turnover!A:A,Turnover!C:C,"not entered"))</f>
        <v>not entered</v>
      </c>
      <c r="N9" s="36"/>
      <c r="O9" s="36"/>
      <c r="P9" s="36"/>
      <c r="Q9" s="36"/>
      <c r="R9" s="36"/>
      <c r="S9" s="36"/>
      <c r="T9" s="36"/>
      <c r="U9" s="36"/>
      <c r="V9" s="36"/>
      <c r="W9" s="36"/>
      <c r="X9" s="10"/>
    </row>
    <row r="10" spans="1:34" x14ac:dyDescent="0.25">
      <c r="A10" t="s">
        <v>207</v>
      </c>
      <c r="B10">
        <f>COUNTIF(Turnover!A:A,A10)</f>
        <v>0</v>
      </c>
      <c r="C10" t="str">
        <f>(_xlfn.XLOOKUP(A10,Turnover!A:A,Turnover!C:C,"not entered"))</f>
        <v>not entered</v>
      </c>
      <c r="N10" s="36"/>
      <c r="O10" s="36"/>
      <c r="P10" s="36"/>
      <c r="Q10" s="36"/>
      <c r="R10" s="36"/>
      <c r="S10" s="36"/>
      <c r="T10" s="36"/>
      <c r="U10" s="36"/>
      <c r="V10" s="36"/>
      <c r="W10" s="36"/>
      <c r="X10" s="10"/>
    </row>
    <row r="11" spans="1:34" x14ac:dyDescent="0.25">
      <c r="A11" t="s">
        <v>208</v>
      </c>
      <c r="B11">
        <f>COUNTIF(Turnover!A:A,A11)</f>
        <v>0</v>
      </c>
      <c r="C11" t="str">
        <f>(_xlfn.XLOOKUP(A11,Turnover!A:A,Turnover!C:C,"not entered"))</f>
        <v>not entered</v>
      </c>
      <c r="N11" s="36"/>
      <c r="O11" s="36"/>
      <c r="P11" s="36"/>
      <c r="Q11" s="36"/>
      <c r="R11" s="36"/>
      <c r="S11" s="36"/>
      <c r="T11" s="36"/>
      <c r="U11" s="36"/>
      <c r="V11" s="36"/>
      <c r="W11" s="36"/>
      <c r="X11" s="10"/>
    </row>
    <row r="12" spans="1:34" x14ac:dyDescent="0.25">
      <c r="A12" t="s">
        <v>209</v>
      </c>
      <c r="B12">
        <f>COUNTIF(Turnover!A:A,A12)</f>
        <v>0</v>
      </c>
      <c r="C12" t="str">
        <f>(_xlfn.XLOOKUP(A12,Turnover!A:A,Turnover!C:C,"not entered"))</f>
        <v>not entered</v>
      </c>
      <c r="N12" s="36"/>
      <c r="O12" s="36"/>
      <c r="P12" s="36"/>
      <c r="Q12" s="36"/>
      <c r="R12" s="36"/>
      <c r="S12" s="36"/>
      <c r="T12" s="36"/>
      <c r="U12" s="36"/>
      <c r="V12" s="36"/>
      <c r="W12" s="36"/>
      <c r="X12" s="10"/>
    </row>
    <row r="13" spans="1:34" x14ac:dyDescent="0.25">
      <c r="A13" t="s">
        <v>210</v>
      </c>
      <c r="B13">
        <f>COUNTIF(Turnover!A:A,A13)</f>
        <v>0</v>
      </c>
      <c r="C13" t="str">
        <f>(_xlfn.XLOOKUP(A13,Turnover!A:A,Turnover!C:C,"not entered"))</f>
        <v>not entered</v>
      </c>
      <c r="N13" s="36"/>
      <c r="O13" s="36"/>
      <c r="P13" s="36"/>
      <c r="Q13" s="36"/>
      <c r="R13" s="36"/>
      <c r="S13" s="36"/>
      <c r="T13" s="36"/>
      <c r="U13" s="36"/>
      <c r="V13" s="36"/>
      <c r="W13" s="36"/>
      <c r="X13" s="10"/>
    </row>
    <row r="14" spans="1:34" x14ac:dyDescent="0.25">
      <c r="A14" t="s">
        <v>211</v>
      </c>
      <c r="B14">
        <f>COUNTIF(Turnover!A:A,A14)</f>
        <v>0</v>
      </c>
      <c r="C14" t="str">
        <f>(_xlfn.XLOOKUP(A14,Turnover!A:A,Turnover!C:C,"not entered"))</f>
        <v>not entered</v>
      </c>
      <c r="N14" s="36"/>
      <c r="O14" s="36"/>
      <c r="P14" s="36"/>
      <c r="Q14" s="36"/>
      <c r="R14" s="36"/>
      <c r="S14" s="36"/>
      <c r="T14" s="36"/>
      <c r="U14" s="36"/>
      <c r="V14" s="36"/>
      <c r="W14" s="36"/>
      <c r="X14" s="10"/>
    </row>
    <row r="15" spans="1:34" x14ac:dyDescent="0.25">
      <c r="A15" t="s">
        <v>212</v>
      </c>
      <c r="B15">
        <f>COUNTIF(Turnover!A:A,A15)</f>
        <v>0</v>
      </c>
      <c r="C15" t="str">
        <f>(_xlfn.XLOOKUP(A15,Turnover!A:A,Turnover!C:C,"not entered"))</f>
        <v>not entered</v>
      </c>
      <c r="N15" s="36"/>
      <c r="O15" s="36"/>
      <c r="P15" s="36"/>
      <c r="Q15" s="36"/>
      <c r="R15" s="36"/>
      <c r="S15" s="36"/>
      <c r="T15" s="36"/>
      <c r="U15" s="36"/>
      <c r="V15" s="36"/>
      <c r="W15" s="36"/>
      <c r="X15" s="10"/>
    </row>
    <row r="16" spans="1:34" x14ac:dyDescent="0.25">
      <c r="A16" t="s">
        <v>213</v>
      </c>
      <c r="B16">
        <f>COUNTIF(Turnover!A:A,A16)</f>
        <v>0</v>
      </c>
      <c r="C16" t="str">
        <f>(_xlfn.XLOOKUP(A16,Turnover!A:A,Turnover!C:C,"not entered"))</f>
        <v>not entered</v>
      </c>
      <c r="N16" s="36"/>
      <c r="O16" s="36"/>
      <c r="P16" s="36"/>
      <c r="Q16" s="36"/>
      <c r="R16" s="36"/>
      <c r="S16" s="36"/>
      <c r="T16" s="36"/>
      <c r="U16" s="36"/>
      <c r="V16" s="36"/>
      <c r="W16" s="36"/>
      <c r="X16" s="10"/>
    </row>
    <row r="17" spans="1:24" x14ac:dyDescent="0.25">
      <c r="A17" t="s">
        <v>214</v>
      </c>
      <c r="B17">
        <f>COUNTIF(Turnover!A:A,A17)</f>
        <v>0</v>
      </c>
      <c r="C17" t="str">
        <f>(_xlfn.XLOOKUP(A17,Turnover!A:A,Turnover!C:C,"not entered"))</f>
        <v>not entered</v>
      </c>
      <c r="N17" s="36"/>
      <c r="O17" s="36"/>
      <c r="P17" s="36"/>
      <c r="Q17" s="36"/>
      <c r="R17" s="36"/>
      <c r="S17" s="36"/>
      <c r="T17" s="36"/>
      <c r="U17" s="36"/>
      <c r="V17" s="36"/>
      <c r="W17" s="36"/>
      <c r="X17" s="10"/>
    </row>
    <row r="18" spans="1:24" x14ac:dyDescent="0.25">
      <c r="A18" t="s">
        <v>215</v>
      </c>
      <c r="B18">
        <f>COUNTIF(Turnover!A:A,A18)</f>
        <v>0</v>
      </c>
      <c r="C18" t="str">
        <f>(_xlfn.XLOOKUP(A18,Turnover!A:A,Turnover!C:C,"not entered"))</f>
        <v>not entered</v>
      </c>
      <c r="N18" s="36"/>
      <c r="O18" s="36"/>
      <c r="P18" s="36"/>
      <c r="Q18" s="36"/>
      <c r="R18" s="36"/>
      <c r="S18" s="36"/>
      <c r="T18" s="36"/>
      <c r="U18" s="36"/>
      <c r="V18" s="36"/>
      <c r="W18" s="36"/>
      <c r="X18" s="10"/>
    </row>
    <row r="19" spans="1:24" x14ac:dyDescent="0.25">
      <c r="A19" t="s">
        <v>216</v>
      </c>
      <c r="B19">
        <f>COUNTIF(Turnover!A:A,A19)</f>
        <v>0</v>
      </c>
      <c r="C19" t="str">
        <f>(_xlfn.XLOOKUP(A19,Turnover!A:A,Turnover!C:C,"not entered"))</f>
        <v>not entered</v>
      </c>
      <c r="N19" s="36"/>
      <c r="O19" s="36"/>
      <c r="P19" s="36"/>
      <c r="Q19" s="36"/>
      <c r="R19" s="36"/>
      <c r="S19" s="36"/>
      <c r="T19" s="36"/>
      <c r="U19" s="36"/>
      <c r="V19" s="36"/>
      <c r="W19" s="36"/>
      <c r="X19" s="10"/>
    </row>
    <row r="20" spans="1:24" x14ac:dyDescent="0.25">
      <c r="A20" t="s">
        <v>217</v>
      </c>
      <c r="B20">
        <f>COUNTIF(Turnover!A:A,A20)</f>
        <v>0</v>
      </c>
      <c r="C20" t="str">
        <f>(_xlfn.XLOOKUP(A20,Turnover!A:A,Turnover!C:C,"not entered"))</f>
        <v>not entered</v>
      </c>
      <c r="N20" s="36"/>
      <c r="O20" s="36"/>
      <c r="P20" s="36"/>
      <c r="Q20" s="36"/>
      <c r="R20" s="36"/>
      <c r="S20" s="36"/>
      <c r="T20" s="36"/>
      <c r="U20" s="36"/>
      <c r="V20" s="36"/>
      <c r="W20" s="36"/>
      <c r="X20" s="10"/>
    </row>
    <row r="21" spans="1:24" x14ac:dyDescent="0.25">
      <c r="A21" t="s">
        <v>218</v>
      </c>
      <c r="B21">
        <f>COUNTIF(Turnover!A:A,A21)</f>
        <v>0</v>
      </c>
      <c r="C21" t="str">
        <f>(_xlfn.XLOOKUP(A21,Turnover!A:A,Turnover!C:C,"not entered"))</f>
        <v>not entered</v>
      </c>
      <c r="N21" s="36"/>
      <c r="O21" s="36"/>
      <c r="P21" s="36"/>
      <c r="Q21" s="36"/>
      <c r="R21" s="36"/>
      <c r="S21" s="36"/>
      <c r="T21" s="36"/>
      <c r="U21" s="36"/>
      <c r="V21" s="36"/>
      <c r="W21" s="36"/>
      <c r="X21" s="10"/>
    </row>
    <row r="22" spans="1:24" x14ac:dyDescent="0.25">
      <c r="A22" t="s">
        <v>219</v>
      </c>
      <c r="B22">
        <f>COUNTIF(Turnover!A:A,A22)</f>
        <v>0</v>
      </c>
      <c r="C22" t="str">
        <f>(_xlfn.XLOOKUP(A22,Turnover!A:A,Turnover!C:C,"not entered"))</f>
        <v>not entered</v>
      </c>
      <c r="N22" s="36"/>
      <c r="O22" s="36"/>
      <c r="P22" s="36"/>
      <c r="Q22" s="36"/>
      <c r="R22" s="36"/>
      <c r="S22" s="36"/>
      <c r="T22" s="36"/>
      <c r="U22" s="36"/>
      <c r="V22" s="36"/>
      <c r="W22" s="36"/>
      <c r="X22" s="10"/>
    </row>
    <row r="23" spans="1:24" x14ac:dyDescent="0.25">
      <c r="A23" t="s">
        <v>220</v>
      </c>
      <c r="B23">
        <f>COUNTIF(Turnover!A:A,A23)</f>
        <v>0</v>
      </c>
      <c r="C23" t="str">
        <f>(_xlfn.XLOOKUP(A23,Turnover!A:A,Turnover!C:C,"not entered"))</f>
        <v>not entered</v>
      </c>
      <c r="N23" s="36"/>
      <c r="O23" s="36"/>
      <c r="P23" s="36"/>
      <c r="Q23" s="36"/>
      <c r="R23" s="36"/>
      <c r="S23" s="36"/>
      <c r="T23" s="36"/>
      <c r="U23" s="36"/>
      <c r="V23" s="36"/>
      <c r="W23" s="36"/>
      <c r="X23" s="10"/>
    </row>
    <row r="24" spans="1:24" x14ac:dyDescent="0.25">
      <c r="A24" t="s">
        <v>221</v>
      </c>
      <c r="B24">
        <f>COUNTIF(Turnover!A:A,A24)</f>
        <v>0</v>
      </c>
      <c r="C24" t="str">
        <f>(_xlfn.XLOOKUP(A24,Turnover!A:A,Turnover!C:C,"not entered"))</f>
        <v>not entered</v>
      </c>
      <c r="N24" s="36"/>
      <c r="O24" s="36"/>
      <c r="P24" s="36"/>
      <c r="Q24" s="36"/>
      <c r="R24" s="36"/>
      <c r="S24" s="36"/>
      <c r="T24" s="36"/>
      <c r="U24" s="36"/>
      <c r="V24" s="36"/>
      <c r="W24" s="36"/>
      <c r="X24" s="10"/>
    </row>
    <row r="25" spans="1:24" x14ac:dyDescent="0.25">
      <c r="A25" t="s">
        <v>222</v>
      </c>
      <c r="B25">
        <f>COUNTIF(Turnover!A:A,A25)</f>
        <v>0</v>
      </c>
      <c r="C25" t="str">
        <f>(_xlfn.XLOOKUP(A25,Turnover!A:A,Turnover!C:C,"not entered"))</f>
        <v>not entered</v>
      </c>
      <c r="N25" s="36"/>
      <c r="O25" s="36"/>
      <c r="P25" s="36"/>
      <c r="Q25" s="36"/>
      <c r="R25" s="36"/>
      <c r="S25" s="36"/>
      <c r="T25" s="36"/>
      <c r="U25" s="36"/>
      <c r="V25" s="36"/>
      <c r="W25" s="36"/>
      <c r="X25" s="10"/>
    </row>
    <row r="26" spans="1:24" x14ac:dyDescent="0.25">
      <c r="A26" t="s">
        <v>223</v>
      </c>
      <c r="B26">
        <f>COUNTIF(Turnover!A:A,A26)</f>
        <v>0</v>
      </c>
      <c r="C26" t="str">
        <f>(_xlfn.XLOOKUP(A26,Turnover!A:A,Turnover!C:C,"not entered"))</f>
        <v>not entered</v>
      </c>
      <c r="N26" s="36"/>
      <c r="O26" s="36"/>
      <c r="P26" s="36"/>
      <c r="Q26" s="36"/>
      <c r="R26" s="36"/>
      <c r="S26" s="36"/>
      <c r="T26" s="36"/>
      <c r="U26" s="36"/>
      <c r="V26" s="36"/>
      <c r="W26" s="36"/>
      <c r="X26" s="10"/>
    </row>
    <row r="27" spans="1:24" x14ac:dyDescent="0.25">
      <c r="A27" t="s">
        <v>224</v>
      </c>
      <c r="B27">
        <f>COUNTIF(Turnover!A:A,A27)</f>
        <v>0</v>
      </c>
      <c r="C27" t="str">
        <f>(_xlfn.XLOOKUP(A27,Turnover!A:A,Turnover!C:C,"not entered"))</f>
        <v>not entered</v>
      </c>
      <c r="N27" s="36"/>
      <c r="O27" s="36"/>
      <c r="P27" s="36"/>
      <c r="Q27" s="36"/>
      <c r="R27" s="36"/>
      <c r="S27" s="36"/>
      <c r="T27" s="36"/>
      <c r="U27" s="36"/>
      <c r="V27" s="36"/>
      <c r="W27" s="36"/>
      <c r="X27" s="10"/>
    </row>
    <row r="28" spans="1:24" x14ac:dyDescent="0.25">
      <c r="A28" t="s">
        <v>225</v>
      </c>
      <c r="B28">
        <f>COUNTIF(Turnover!A:A,A28)</f>
        <v>0</v>
      </c>
      <c r="C28" t="str">
        <f>(_xlfn.XLOOKUP(A28,Turnover!A:A,Turnover!C:C,"not entered"))</f>
        <v>not entered</v>
      </c>
      <c r="N28" s="36"/>
      <c r="O28" s="36"/>
      <c r="P28" s="36"/>
      <c r="Q28" s="36"/>
      <c r="R28" s="36"/>
      <c r="S28" s="36"/>
      <c r="T28" s="36"/>
      <c r="U28" s="36"/>
      <c r="V28" s="36"/>
      <c r="W28" s="36"/>
      <c r="X28" s="10"/>
    </row>
    <row r="29" spans="1:24" x14ac:dyDescent="0.25">
      <c r="A29" t="s">
        <v>226</v>
      </c>
      <c r="B29">
        <f>COUNTIF(Turnover!A:A,A29)</f>
        <v>0</v>
      </c>
      <c r="C29" t="str">
        <f>(_xlfn.XLOOKUP(A29,Turnover!A:A,Turnover!C:C,"not entered"))</f>
        <v>not entered</v>
      </c>
      <c r="N29" s="36"/>
      <c r="O29" s="36"/>
      <c r="P29" s="36"/>
      <c r="Q29" s="36"/>
      <c r="R29" s="36"/>
      <c r="S29" s="36"/>
      <c r="T29" s="36"/>
      <c r="U29" s="36"/>
      <c r="V29" s="36"/>
      <c r="W29" s="36"/>
      <c r="X29" s="10"/>
    </row>
    <row r="30" spans="1:24" x14ac:dyDescent="0.25">
      <c r="A30" t="s">
        <v>227</v>
      </c>
      <c r="B30">
        <f>COUNTIF(Turnover!A:A,A30)</f>
        <v>0</v>
      </c>
      <c r="C30" t="str">
        <f>(_xlfn.XLOOKUP(A30,Turnover!A:A,Turnover!C:C,"not entered"))</f>
        <v>not entered</v>
      </c>
      <c r="N30" s="36"/>
      <c r="O30" s="36"/>
      <c r="P30" s="36"/>
      <c r="Q30" s="36"/>
      <c r="R30" s="36"/>
      <c r="S30" s="36"/>
      <c r="T30" s="36"/>
      <c r="U30" s="36"/>
      <c r="V30" s="36"/>
      <c r="W30" s="36"/>
      <c r="X30" s="10"/>
    </row>
    <row r="31" spans="1:24" x14ac:dyDescent="0.25">
      <c r="A31" t="s">
        <v>228</v>
      </c>
      <c r="B31">
        <f>COUNTIF(Turnover!A:A,A31)</f>
        <v>0</v>
      </c>
      <c r="C31" t="str">
        <f>(_xlfn.XLOOKUP(A31,Turnover!A:A,Turnover!C:C,"not entered"))</f>
        <v>not entered</v>
      </c>
      <c r="N31" s="36"/>
      <c r="O31" s="36"/>
      <c r="P31" s="36"/>
      <c r="Q31" s="36"/>
      <c r="R31" s="36"/>
      <c r="S31" s="36"/>
      <c r="T31" s="36"/>
      <c r="U31" s="36"/>
      <c r="V31" s="36"/>
      <c r="W31" s="36"/>
      <c r="X31" s="10"/>
    </row>
    <row r="32" spans="1:24" x14ac:dyDescent="0.25">
      <c r="N32" s="36"/>
      <c r="O32" s="36"/>
      <c r="P32" s="36"/>
      <c r="Q32" s="36"/>
      <c r="R32" s="36"/>
      <c r="S32" s="36"/>
      <c r="T32" s="36"/>
      <c r="U32" s="36"/>
      <c r="V32" s="36"/>
      <c r="W32" s="36"/>
    </row>
    <row r="33" spans="14:23" x14ac:dyDescent="0.25">
      <c r="N33" s="36"/>
      <c r="O33" s="36"/>
      <c r="P33" s="36"/>
      <c r="Q33" s="36"/>
      <c r="R33" s="36"/>
      <c r="S33" s="36"/>
      <c r="T33" s="36"/>
      <c r="U33" s="36"/>
      <c r="V33" s="36"/>
      <c r="W33" s="36"/>
    </row>
    <row r="34" spans="14:23" x14ac:dyDescent="0.25">
      <c r="N34" s="36"/>
      <c r="O34" s="36"/>
      <c r="P34" s="36"/>
      <c r="Q34" s="36"/>
      <c r="R34" s="36"/>
      <c r="S34" s="36"/>
      <c r="T34" s="36"/>
      <c r="U34" s="36"/>
      <c r="V34" s="36"/>
      <c r="W34" s="36"/>
    </row>
    <row r="35" spans="14:23" x14ac:dyDescent="0.25">
      <c r="N35" s="36"/>
      <c r="O35" s="36"/>
      <c r="P35" s="36"/>
      <c r="Q35" s="36"/>
      <c r="R35" s="36"/>
      <c r="S35" s="36"/>
      <c r="T35" s="36"/>
      <c r="U35" s="36"/>
      <c r="V35" s="36"/>
      <c r="W35" s="36"/>
    </row>
    <row r="36" spans="14:23" x14ac:dyDescent="0.25">
      <c r="N36" s="36"/>
      <c r="O36" s="36"/>
      <c r="P36" s="36"/>
      <c r="Q36" s="36"/>
      <c r="R36" s="36"/>
      <c r="S36" s="36"/>
      <c r="T36" s="36"/>
      <c r="U36" s="36"/>
      <c r="V36" s="36"/>
      <c r="W36" s="36"/>
    </row>
    <row r="37" spans="14:23" x14ac:dyDescent="0.25">
      <c r="N37" s="36"/>
      <c r="O37" s="36"/>
      <c r="P37" s="36"/>
      <c r="Q37" s="36"/>
      <c r="R37" s="36"/>
      <c r="S37" s="36"/>
      <c r="T37" s="36"/>
      <c r="U37" s="36"/>
      <c r="V37" s="36"/>
      <c r="W37" s="36"/>
    </row>
    <row r="38" spans="14:23" x14ac:dyDescent="0.25">
      <c r="N38" s="36"/>
      <c r="O38" s="36"/>
      <c r="P38" s="36"/>
      <c r="Q38" s="36"/>
      <c r="R38" s="36"/>
      <c r="S38" s="36"/>
      <c r="T38" s="36"/>
      <c r="U38" s="36"/>
      <c r="V38" s="36"/>
      <c r="W38" s="36"/>
    </row>
    <row r="39" spans="14:23" x14ac:dyDescent="0.25">
      <c r="N39" s="36"/>
      <c r="O39" s="36"/>
      <c r="P39" s="36"/>
      <c r="Q39" s="36"/>
      <c r="R39" s="36"/>
      <c r="S39" s="36"/>
      <c r="T39" s="36"/>
      <c r="U39" s="36"/>
      <c r="V39" s="36"/>
      <c r="W39" s="36"/>
    </row>
    <row r="40" spans="14:23" x14ac:dyDescent="0.25">
      <c r="N40" s="36"/>
      <c r="O40" s="36"/>
      <c r="P40" s="36"/>
      <c r="Q40" s="36"/>
      <c r="R40" s="36"/>
      <c r="S40" s="36"/>
      <c r="T40" s="36"/>
      <c r="U40" s="36"/>
      <c r="V40" s="36"/>
      <c r="W40" s="36"/>
    </row>
    <row r="41" spans="14:23" x14ac:dyDescent="0.25">
      <c r="N41" s="36"/>
      <c r="O41" s="36"/>
      <c r="P41" s="36"/>
      <c r="Q41" s="36"/>
      <c r="R41" s="36"/>
      <c r="S41" s="36"/>
      <c r="T41" s="36"/>
      <c r="U41" s="36"/>
      <c r="V41" s="36"/>
      <c r="W41" s="36"/>
    </row>
    <row r="42" spans="14:23" x14ac:dyDescent="0.25">
      <c r="N42" s="36"/>
      <c r="O42" s="36"/>
      <c r="P42" s="36"/>
      <c r="Q42" s="36"/>
      <c r="R42" s="36"/>
      <c r="S42" s="36"/>
      <c r="T42" s="36"/>
      <c r="U42" s="36"/>
      <c r="V42" s="36"/>
      <c r="W42" s="36"/>
    </row>
    <row r="43" spans="14:23" x14ac:dyDescent="0.25">
      <c r="N43" s="36"/>
      <c r="O43" s="36"/>
      <c r="P43" s="36"/>
      <c r="Q43" s="36"/>
      <c r="R43" s="36"/>
      <c r="S43" s="36"/>
      <c r="T43" s="36"/>
      <c r="U43" s="36"/>
      <c r="V43" s="36"/>
      <c r="W43" s="36"/>
    </row>
    <row r="44" spans="14:23" x14ac:dyDescent="0.25">
      <c r="N44" s="36"/>
      <c r="O44" s="36"/>
      <c r="P44" s="36"/>
      <c r="Q44" s="36"/>
      <c r="R44" s="36"/>
      <c r="S44" s="36"/>
      <c r="T44" s="36"/>
      <c r="U44" s="36"/>
      <c r="V44" s="36"/>
      <c r="W44" s="36"/>
    </row>
    <row r="45" spans="14:23" x14ac:dyDescent="0.25">
      <c r="N45" s="36"/>
      <c r="O45" s="36"/>
      <c r="P45" s="36"/>
      <c r="Q45" s="36"/>
      <c r="R45" s="36"/>
      <c r="S45" s="36"/>
      <c r="T45" s="36"/>
      <c r="U45" s="36"/>
      <c r="V45" s="36"/>
      <c r="W45" s="36"/>
    </row>
    <row r="46" spans="14:23" x14ac:dyDescent="0.25">
      <c r="N46" s="36"/>
      <c r="O46" s="36"/>
      <c r="P46" s="36"/>
      <c r="Q46" s="36"/>
      <c r="R46" s="36"/>
      <c r="S46" s="36"/>
      <c r="T46" s="36"/>
      <c r="U46" s="36"/>
      <c r="V46" s="36"/>
      <c r="W46" s="36"/>
    </row>
    <row r="47" spans="14:23" x14ac:dyDescent="0.25">
      <c r="N47" s="36"/>
      <c r="O47" s="36"/>
      <c r="P47" s="36"/>
      <c r="Q47" s="36"/>
      <c r="R47" s="36"/>
      <c r="S47" s="36"/>
      <c r="T47" s="36"/>
      <c r="U47" s="36"/>
      <c r="V47" s="36"/>
      <c r="W47" s="36"/>
    </row>
    <row r="48" spans="14:23" x14ac:dyDescent="0.25">
      <c r="N48" s="36"/>
      <c r="O48" s="36"/>
      <c r="P48" s="36"/>
      <c r="Q48" s="36"/>
      <c r="R48" s="36"/>
      <c r="S48" s="36"/>
      <c r="T48" s="36"/>
      <c r="U48" s="36"/>
      <c r="V48" s="36"/>
      <c r="W48" s="36"/>
    </row>
    <row r="49" spans="14:23" x14ac:dyDescent="0.25">
      <c r="N49" s="36"/>
      <c r="O49" s="36"/>
      <c r="P49" s="36"/>
      <c r="Q49" s="36"/>
      <c r="R49" s="36"/>
      <c r="S49" s="36"/>
      <c r="T49" s="36"/>
      <c r="U49" s="36"/>
      <c r="V49" s="36"/>
      <c r="W49" s="36"/>
    </row>
    <row r="50" spans="14:23" x14ac:dyDescent="0.25">
      <c r="N50" s="36"/>
      <c r="O50" s="36"/>
      <c r="P50" s="36"/>
      <c r="Q50" s="36"/>
      <c r="R50" s="36"/>
      <c r="S50" s="36"/>
      <c r="T50" s="36"/>
      <c r="U50" s="36"/>
      <c r="V50" s="36"/>
      <c r="W50" s="36"/>
    </row>
    <row r="51" spans="14:23" x14ac:dyDescent="0.25">
      <c r="N51" s="36"/>
      <c r="O51" s="36"/>
      <c r="P51" s="36"/>
      <c r="Q51" s="36"/>
      <c r="R51" s="36"/>
      <c r="S51" s="36"/>
      <c r="T51" s="36"/>
      <c r="U51" s="36"/>
      <c r="V51" s="36"/>
      <c r="W51" s="36"/>
    </row>
    <row r="52" spans="14:23" x14ac:dyDescent="0.25">
      <c r="N52" s="36"/>
      <c r="O52" s="36"/>
      <c r="P52" s="36"/>
      <c r="Q52" s="36"/>
      <c r="R52" s="36"/>
      <c r="S52" s="36"/>
      <c r="T52" s="36"/>
      <c r="U52" s="36"/>
      <c r="V52" s="36"/>
      <c r="W52" s="36"/>
    </row>
    <row r="53" spans="14:23" x14ac:dyDescent="0.25">
      <c r="N53" s="36"/>
      <c r="O53" s="36"/>
      <c r="P53" s="36"/>
      <c r="Q53" s="36"/>
      <c r="R53" s="36"/>
      <c r="S53" s="36"/>
      <c r="T53" s="36"/>
      <c r="U53" s="36"/>
      <c r="V53" s="36"/>
      <c r="W53" s="36"/>
    </row>
    <row r="54" spans="14:23" x14ac:dyDescent="0.25">
      <c r="N54" s="36"/>
      <c r="O54" s="36"/>
      <c r="P54" s="36"/>
      <c r="Q54" s="36"/>
      <c r="R54" s="36"/>
      <c r="S54" s="36"/>
      <c r="T54" s="36"/>
      <c r="U54" s="36"/>
      <c r="V54" s="36"/>
      <c r="W54" s="36"/>
    </row>
    <row r="55" spans="14:23" x14ac:dyDescent="0.25">
      <c r="N55" s="36"/>
      <c r="O55" s="36"/>
      <c r="P55" s="36"/>
      <c r="Q55" s="36"/>
      <c r="R55" s="36"/>
      <c r="S55" s="36"/>
      <c r="T55" s="36"/>
      <c r="U55" s="36"/>
      <c r="V55" s="36"/>
      <c r="W55" s="36"/>
    </row>
    <row r="56" spans="14:23" x14ac:dyDescent="0.25">
      <c r="N56" s="36"/>
      <c r="O56" s="36"/>
      <c r="P56" s="36"/>
      <c r="Q56" s="36"/>
      <c r="R56" s="36"/>
      <c r="S56" s="36"/>
      <c r="T56" s="36"/>
      <c r="U56" s="36"/>
      <c r="V56" s="36"/>
      <c r="W56" s="36"/>
    </row>
    <row r="57" spans="14:23" x14ac:dyDescent="0.25">
      <c r="N57" s="36"/>
      <c r="O57" s="36"/>
      <c r="P57" s="36"/>
      <c r="Q57" s="36"/>
      <c r="R57" s="36"/>
      <c r="S57" s="36"/>
      <c r="T57" s="36"/>
      <c r="U57" s="36"/>
      <c r="V57" s="36"/>
      <c r="W57" s="36"/>
    </row>
    <row r="58" spans="14:23" x14ac:dyDescent="0.25">
      <c r="N58" s="36"/>
      <c r="O58" s="36"/>
      <c r="P58" s="36"/>
      <c r="Q58" s="36"/>
      <c r="R58" s="36"/>
      <c r="S58" s="36"/>
      <c r="T58" s="36"/>
      <c r="U58" s="36"/>
      <c r="V58" s="36"/>
      <c r="W58" s="36"/>
    </row>
    <row r="59" spans="14:23" x14ac:dyDescent="0.25">
      <c r="N59" s="36"/>
      <c r="O59" s="36"/>
      <c r="P59" s="36"/>
      <c r="Q59" s="36"/>
      <c r="R59" s="36"/>
      <c r="S59" s="36"/>
      <c r="T59" s="36"/>
      <c r="U59" s="36"/>
      <c r="V59" s="36"/>
      <c r="W59" s="36"/>
    </row>
    <row r="60" spans="14:23" x14ac:dyDescent="0.25">
      <c r="N60" s="36"/>
      <c r="O60" s="36"/>
      <c r="P60" s="36"/>
      <c r="Q60" s="36"/>
      <c r="R60" s="36"/>
      <c r="S60" s="36"/>
      <c r="T60" s="36"/>
      <c r="U60" s="36"/>
      <c r="V60" s="36"/>
      <c r="W60" s="36"/>
    </row>
    <row r="61" spans="14:23" x14ac:dyDescent="0.25">
      <c r="N61" s="36"/>
      <c r="O61" s="36"/>
      <c r="P61" s="36"/>
      <c r="Q61" s="36"/>
      <c r="R61" s="36"/>
      <c r="S61" s="36"/>
      <c r="T61" s="36"/>
      <c r="U61" s="36"/>
      <c r="V61" s="36"/>
      <c r="W61" s="36"/>
    </row>
    <row r="62" spans="14:23" x14ac:dyDescent="0.25">
      <c r="N62" s="36"/>
      <c r="O62" s="36"/>
      <c r="P62" s="36"/>
      <c r="Q62" s="36"/>
      <c r="R62" s="36"/>
      <c r="S62" s="36"/>
      <c r="T62" s="36"/>
      <c r="U62" s="36"/>
      <c r="V62" s="36"/>
      <c r="W62" s="36"/>
    </row>
    <row r="63" spans="14:23" x14ac:dyDescent="0.25">
      <c r="N63" s="36"/>
      <c r="O63" s="36"/>
      <c r="P63" s="36"/>
      <c r="Q63" s="36"/>
      <c r="R63" s="36"/>
      <c r="S63" s="36"/>
      <c r="T63" s="36"/>
      <c r="U63" s="36"/>
      <c r="V63" s="36"/>
      <c r="W63" s="36"/>
    </row>
    <row r="64" spans="14:23" x14ac:dyDescent="0.25">
      <c r="N64" s="36"/>
      <c r="O64" s="36"/>
      <c r="P64" s="36"/>
      <c r="Q64" s="36"/>
      <c r="R64" s="36"/>
      <c r="S64" s="36"/>
      <c r="T64" s="36"/>
      <c r="U64" s="36"/>
      <c r="V64" s="36"/>
      <c r="W64" s="36"/>
    </row>
    <row r="65" spans="14:23" x14ac:dyDescent="0.25">
      <c r="N65" s="36"/>
      <c r="O65" s="36"/>
      <c r="P65" s="36"/>
      <c r="Q65" s="36"/>
      <c r="R65" s="36"/>
      <c r="S65" s="36"/>
      <c r="T65" s="36"/>
      <c r="U65" s="36"/>
      <c r="V65" s="36"/>
      <c r="W65" s="36"/>
    </row>
    <row r="66" spans="14:23" x14ac:dyDescent="0.25">
      <c r="N66" s="36"/>
      <c r="O66" s="36"/>
      <c r="P66" s="36"/>
      <c r="Q66" s="36"/>
      <c r="R66" s="36"/>
      <c r="S66" s="36"/>
      <c r="T66" s="36"/>
      <c r="U66" s="36"/>
      <c r="V66" s="36"/>
      <c r="W66" s="36"/>
    </row>
    <row r="67" spans="14:23" x14ac:dyDescent="0.25">
      <c r="N67" s="36"/>
      <c r="O67" s="36"/>
      <c r="P67" s="36"/>
      <c r="Q67" s="36"/>
      <c r="R67" s="36"/>
      <c r="S67" s="36"/>
      <c r="T67" s="36"/>
      <c r="U67" s="36"/>
      <c r="V67" s="36"/>
      <c r="W67" s="36"/>
    </row>
    <row r="68" spans="14:23" x14ac:dyDescent="0.25">
      <c r="N68" s="36"/>
      <c r="O68" s="36"/>
      <c r="P68" s="36"/>
      <c r="Q68" s="36"/>
      <c r="R68" s="36"/>
      <c r="S68" s="36"/>
      <c r="T68" s="36"/>
      <c r="U68" s="36"/>
      <c r="V68" s="36"/>
      <c r="W68" s="36"/>
    </row>
    <row r="69" spans="14:23" x14ac:dyDescent="0.25">
      <c r="N69" s="36"/>
      <c r="O69" s="36"/>
      <c r="P69" s="36"/>
      <c r="Q69" s="36"/>
      <c r="R69" s="36"/>
      <c r="S69" s="36"/>
      <c r="T69" s="36"/>
      <c r="U69" s="36"/>
      <c r="V69" s="36"/>
      <c r="W69" s="36"/>
    </row>
    <row r="70" spans="14:23" x14ac:dyDescent="0.25">
      <c r="N70" s="36"/>
      <c r="O70" s="36"/>
      <c r="P70" s="36"/>
      <c r="Q70" s="36"/>
      <c r="R70" s="36"/>
      <c r="S70" s="36"/>
      <c r="T70" s="36"/>
      <c r="U70" s="36"/>
      <c r="V70" s="36"/>
      <c r="W70" s="36"/>
    </row>
    <row r="71" spans="14:23" x14ac:dyDescent="0.25">
      <c r="N71" s="36"/>
      <c r="O71" s="36"/>
      <c r="P71" s="36"/>
      <c r="Q71" s="36"/>
      <c r="R71" s="36"/>
      <c r="S71" s="36"/>
      <c r="T71" s="36"/>
      <c r="U71" s="36"/>
      <c r="V71" s="36"/>
      <c r="W71" s="36"/>
    </row>
    <row r="72" spans="14:23" x14ac:dyDescent="0.25">
      <c r="N72" s="36"/>
      <c r="O72" s="36"/>
      <c r="P72" s="36"/>
      <c r="Q72" s="36"/>
      <c r="R72" s="36"/>
      <c r="S72" s="36"/>
      <c r="T72" s="36"/>
      <c r="U72" s="36"/>
      <c r="V72" s="36"/>
      <c r="W72" s="36"/>
    </row>
    <row r="73" spans="14:23" x14ac:dyDescent="0.25">
      <c r="N73" s="36"/>
      <c r="O73" s="36"/>
      <c r="P73" s="36"/>
      <c r="Q73" s="36"/>
      <c r="R73" s="36"/>
      <c r="S73" s="36"/>
      <c r="T73" s="36"/>
      <c r="U73" s="36"/>
      <c r="V73" s="36"/>
      <c r="W73" s="36"/>
    </row>
    <row r="74" spans="14:23" x14ac:dyDescent="0.25">
      <c r="N74" s="36"/>
      <c r="O74" s="36"/>
      <c r="P74" s="36"/>
      <c r="Q74" s="36"/>
      <c r="R74" s="36"/>
      <c r="S74" s="36"/>
      <c r="T74" s="36"/>
      <c r="U74" s="36"/>
      <c r="V74" s="36"/>
      <c r="W74" s="36"/>
    </row>
    <row r="75" spans="14:23" x14ac:dyDescent="0.25">
      <c r="N75" s="36"/>
      <c r="O75" s="36"/>
      <c r="P75" s="36"/>
      <c r="Q75" s="36"/>
      <c r="R75" s="36"/>
      <c r="S75" s="36"/>
      <c r="T75" s="36"/>
      <c r="U75" s="36"/>
      <c r="V75" s="36"/>
      <c r="W75" s="36"/>
    </row>
    <row r="76" spans="14:23" x14ac:dyDescent="0.25">
      <c r="N76" s="36"/>
      <c r="O76" s="36"/>
      <c r="P76" s="36"/>
      <c r="Q76" s="36"/>
      <c r="R76" s="36"/>
      <c r="S76" s="36"/>
      <c r="T76" s="36"/>
      <c r="U76" s="36"/>
      <c r="V76" s="36"/>
      <c r="W76" s="36"/>
    </row>
    <row r="77" spans="14:23" x14ac:dyDescent="0.25">
      <c r="N77" s="36"/>
      <c r="O77" s="36"/>
      <c r="P77" s="36"/>
      <c r="Q77" s="36"/>
      <c r="R77" s="36"/>
      <c r="S77" s="36"/>
      <c r="T77" s="36"/>
      <c r="U77" s="36"/>
      <c r="V77" s="36"/>
      <c r="W77" s="36"/>
    </row>
    <row r="78" spans="14:23" x14ac:dyDescent="0.25">
      <c r="N78" s="36"/>
      <c r="O78" s="36"/>
      <c r="P78" s="36"/>
      <c r="Q78" s="36"/>
      <c r="R78" s="36"/>
      <c r="S78" s="36"/>
      <c r="T78" s="36"/>
      <c r="U78" s="36"/>
      <c r="V78" s="36"/>
      <c r="W78" s="36"/>
    </row>
    <row r="79" spans="14:23" x14ac:dyDescent="0.25">
      <c r="N79" s="36"/>
      <c r="O79" s="36"/>
      <c r="P79" s="36"/>
      <c r="Q79" s="36"/>
      <c r="R79" s="36"/>
      <c r="S79" s="36"/>
      <c r="T79" s="36"/>
      <c r="U79" s="36"/>
      <c r="V79" s="36"/>
      <c r="W79" s="36"/>
    </row>
    <row r="80" spans="14:23" x14ac:dyDescent="0.25">
      <c r="N80" s="36"/>
      <c r="O80" s="36"/>
      <c r="P80" s="36"/>
      <c r="Q80" s="36"/>
      <c r="R80" s="36"/>
      <c r="S80" s="36"/>
      <c r="T80" s="36"/>
      <c r="U80" s="36"/>
      <c r="V80" s="36"/>
      <c r="W80" s="36"/>
    </row>
    <row r="81" spans="14:23" x14ac:dyDescent="0.25">
      <c r="N81" s="36"/>
      <c r="O81" s="36"/>
      <c r="P81" s="36"/>
      <c r="Q81" s="36"/>
      <c r="R81" s="36"/>
      <c r="S81" s="36"/>
      <c r="T81" s="36"/>
      <c r="U81" s="36"/>
      <c r="V81" s="36"/>
      <c r="W81" s="36"/>
    </row>
    <row r="82" spans="14:23" x14ac:dyDescent="0.25">
      <c r="N82" s="36"/>
      <c r="O82" s="36"/>
      <c r="P82" s="36"/>
      <c r="Q82" s="36"/>
      <c r="R82" s="36"/>
      <c r="S82" s="36"/>
      <c r="T82" s="36"/>
      <c r="U82" s="36"/>
      <c r="V82" s="36"/>
      <c r="W82" s="36"/>
    </row>
    <row r="83" spans="14:23" x14ac:dyDescent="0.25">
      <c r="N83" s="36"/>
      <c r="O83" s="36"/>
      <c r="P83" s="36"/>
      <c r="Q83" s="36"/>
      <c r="R83" s="36"/>
      <c r="S83" s="36"/>
      <c r="T83" s="36"/>
      <c r="U83" s="36"/>
      <c r="V83" s="36"/>
      <c r="W83" s="36"/>
    </row>
    <row r="84" spans="14:23" x14ac:dyDescent="0.25">
      <c r="N84" s="36"/>
      <c r="O84" s="36"/>
      <c r="P84" s="36"/>
      <c r="Q84" s="36"/>
      <c r="R84" s="36"/>
      <c r="S84" s="36"/>
      <c r="T84" s="36"/>
      <c r="U84" s="36"/>
      <c r="V84" s="36"/>
      <c r="W84" s="36"/>
    </row>
    <row r="85" spans="14:23" x14ac:dyDescent="0.25">
      <c r="N85" s="36"/>
      <c r="O85" s="36"/>
      <c r="P85" s="36"/>
      <c r="Q85" s="36"/>
      <c r="R85" s="36"/>
      <c r="S85" s="36"/>
      <c r="T85" s="36"/>
      <c r="U85" s="36"/>
      <c r="V85" s="36"/>
      <c r="W85" s="36"/>
    </row>
    <row r="86" spans="14:23" x14ac:dyDescent="0.25">
      <c r="N86" s="36"/>
      <c r="O86" s="36"/>
      <c r="P86" s="36"/>
      <c r="Q86" s="36"/>
      <c r="R86" s="36"/>
      <c r="S86" s="36"/>
      <c r="T86" s="36"/>
      <c r="U86" s="36"/>
      <c r="V86" s="36"/>
      <c r="W86" s="36"/>
    </row>
    <row r="87" spans="14:23" x14ac:dyDescent="0.25">
      <c r="N87" s="36"/>
      <c r="O87" s="36"/>
      <c r="P87" s="36"/>
      <c r="Q87" s="36"/>
      <c r="R87" s="36"/>
      <c r="S87" s="36"/>
      <c r="T87" s="36"/>
      <c r="U87" s="36"/>
      <c r="V87" s="36"/>
      <c r="W87" s="36"/>
    </row>
    <row r="88" spans="14:23" x14ac:dyDescent="0.25">
      <c r="N88" s="36"/>
      <c r="O88" s="36"/>
      <c r="P88" s="36"/>
      <c r="Q88" s="36"/>
      <c r="R88" s="36"/>
      <c r="S88" s="36"/>
      <c r="T88" s="36"/>
      <c r="U88" s="36"/>
      <c r="V88" s="36"/>
      <c r="W88" s="36"/>
    </row>
    <row r="89" spans="14:23" x14ac:dyDescent="0.25">
      <c r="N89" s="36"/>
      <c r="O89" s="36"/>
      <c r="P89" s="36"/>
      <c r="Q89" s="36"/>
      <c r="R89" s="36"/>
      <c r="S89" s="36"/>
      <c r="T89" s="36"/>
      <c r="U89" s="36"/>
      <c r="V89" s="36"/>
      <c r="W89" s="36"/>
    </row>
    <row r="90" spans="14:23" x14ac:dyDescent="0.25">
      <c r="N90" s="36"/>
      <c r="O90" s="36"/>
      <c r="P90" s="36"/>
      <c r="Q90" s="36"/>
      <c r="R90" s="36"/>
      <c r="S90" s="36"/>
      <c r="T90" s="36"/>
      <c r="U90" s="36"/>
      <c r="V90" s="36"/>
      <c r="W90" s="36"/>
    </row>
    <row r="91" spans="14:23" x14ac:dyDescent="0.25">
      <c r="N91" s="36"/>
      <c r="O91" s="36"/>
      <c r="P91" s="36"/>
      <c r="Q91" s="36"/>
      <c r="R91" s="36"/>
      <c r="S91" s="36"/>
      <c r="T91" s="36"/>
      <c r="U91" s="36"/>
      <c r="V91" s="36"/>
      <c r="W91" s="36"/>
    </row>
    <row r="92" spans="14:23" x14ac:dyDescent="0.25">
      <c r="N92" s="36"/>
      <c r="O92" s="36"/>
      <c r="P92" s="36"/>
      <c r="Q92" s="36"/>
      <c r="R92" s="36"/>
      <c r="S92" s="36"/>
      <c r="T92" s="36"/>
      <c r="U92" s="36"/>
      <c r="V92" s="36"/>
      <c r="W92" s="36"/>
    </row>
    <row r="93" spans="14:23" x14ac:dyDescent="0.25">
      <c r="N93" s="36"/>
      <c r="O93" s="36"/>
      <c r="P93" s="36"/>
      <c r="Q93" s="36"/>
      <c r="R93" s="36"/>
      <c r="S93" s="36"/>
      <c r="T93" s="36"/>
      <c r="U93" s="36"/>
      <c r="V93" s="36"/>
      <c r="W93" s="36"/>
    </row>
    <row r="94" spans="14:23" x14ac:dyDescent="0.25">
      <c r="N94" s="36"/>
      <c r="O94" s="36"/>
      <c r="P94" s="36"/>
      <c r="Q94" s="36"/>
      <c r="R94" s="36"/>
      <c r="S94" s="36"/>
      <c r="T94" s="36"/>
      <c r="U94" s="36"/>
      <c r="V94" s="36"/>
      <c r="W94" s="36"/>
    </row>
    <row r="95" spans="14:23" x14ac:dyDescent="0.25">
      <c r="N95" s="36"/>
      <c r="O95" s="36"/>
      <c r="P95" s="36"/>
      <c r="Q95" s="36"/>
      <c r="R95" s="36"/>
      <c r="S95" s="36"/>
      <c r="T95" s="36"/>
      <c r="U95" s="36"/>
      <c r="V95" s="36"/>
      <c r="W95" s="36"/>
    </row>
    <row r="96" spans="14:23" x14ac:dyDescent="0.25">
      <c r="N96" s="36"/>
      <c r="O96" s="36"/>
      <c r="P96" s="36"/>
      <c r="Q96" s="36"/>
      <c r="R96" s="36"/>
      <c r="S96" s="36"/>
      <c r="T96" s="36"/>
      <c r="U96" s="36"/>
      <c r="V96" s="36"/>
      <c r="W96" s="36"/>
    </row>
    <row r="97" spans="14:23" x14ac:dyDescent="0.25">
      <c r="N97" s="36"/>
      <c r="O97" s="36"/>
      <c r="P97" s="36"/>
      <c r="Q97" s="36"/>
      <c r="R97" s="36"/>
      <c r="S97" s="36"/>
      <c r="T97" s="36"/>
      <c r="U97" s="36"/>
      <c r="V97" s="36"/>
      <c r="W97" s="36"/>
    </row>
    <row r="98" spans="14:23" x14ac:dyDescent="0.25">
      <c r="N98" s="36"/>
      <c r="O98" s="36"/>
      <c r="P98" s="36"/>
      <c r="Q98" s="36"/>
      <c r="R98" s="36"/>
      <c r="S98" s="36"/>
      <c r="T98" s="36"/>
      <c r="U98" s="36"/>
      <c r="V98" s="36"/>
      <c r="W98" s="36"/>
    </row>
    <row r="99" spans="14:23" x14ac:dyDescent="0.25">
      <c r="N99" s="36"/>
      <c r="O99" s="36"/>
      <c r="P99" s="36"/>
      <c r="Q99" s="36"/>
      <c r="R99" s="36"/>
      <c r="S99" s="36"/>
      <c r="T99" s="36"/>
      <c r="U99" s="36"/>
      <c r="V99" s="36"/>
      <c r="W99" s="36"/>
    </row>
    <row r="100" spans="14:23" x14ac:dyDescent="0.25">
      <c r="N100" s="36"/>
      <c r="O100" s="36"/>
      <c r="P100" s="36"/>
      <c r="Q100" s="36"/>
      <c r="R100" s="36"/>
      <c r="S100" s="36"/>
      <c r="T100" s="36"/>
      <c r="U100" s="36"/>
      <c r="V100" s="36"/>
      <c r="W100" s="36"/>
    </row>
    <row r="101" spans="14:23" x14ac:dyDescent="0.25">
      <c r="N101" s="36"/>
      <c r="O101" s="36"/>
      <c r="P101" s="36"/>
      <c r="Q101" s="36"/>
      <c r="R101" s="36"/>
      <c r="S101" s="36"/>
      <c r="T101" s="36"/>
      <c r="U101" s="36"/>
      <c r="V101" s="36"/>
      <c r="W101" s="36"/>
    </row>
    <row r="102" spans="14:23" x14ac:dyDescent="0.25">
      <c r="N102" s="36"/>
      <c r="O102" s="36"/>
      <c r="P102" s="36"/>
      <c r="Q102" s="36"/>
      <c r="R102" s="36"/>
      <c r="S102" s="36"/>
      <c r="T102" s="36"/>
      <c r="U102" s="36"/>
      <c r="V102" s="36"/>
      <c r="W102" s="36"/>
    </row>
    <row r="103" spans="14:23" x14ac:dyDescent="0.25">
      <c r="N103" s="36"/>
      <c r="O103" s="36"/>
      <c r="P103" s="36"/>
      <c r="Q103" s="36"/>
      <c r="R103" s="36"/>
      <c r="S103" s="36"/>
      <c r="T103" s="36"/>
      <c r="U103" s="36"/>
      <c r="V103" s="36"/>
      <c r="W103" s="36"/>
    </row>
    <row r="104" spans="14:23" x14ac:dyDescent="0.25">
      <c r="N104" s="36"/>
      <c r="O104" s="36"/>
      <c r="P104" s="36"/>
      <c r="Q104" s="36"/>
      <c r="R104" s="36"/>
      <c r="S104" s="36"/>
      <c r="T104" s="36"/>
      <c r="U104" s="36"/>
      <c r="V104" s="36"/>
      <c r="W104" s="36"/>
    </row>
    <row r="105" spans="14:23" x14ac:dyDescent="0.25">
      <c r="N105" s="36"/>
      <c r="O105" s="36"/>
      <c r="P105" s="36"/>
      <c r="Q105" s="36"/>
      <c r="R105" s="36"/>
      <c r="S105" s="36"/>
      <c r="T105" s="36"/>
      <c r="U105" s="36"/>
      <c r="V105" s="36"/>
      <c r="W105" s="36"/>
    </row>
    <row r="106" spans="14:23" x14ac:dyDescent="0.25">
      <c r="N106" s="36"/>
      <c r="O106" s="36"/>
      <c r="P106" s="36"/>
      <c r="Q106" s="36"/>
      <c r="R106" s="36"/>
      <c r="S106" s="36"/>
      <c r="T106" s="36"/>
      <c r="U106" s="36"/>
      <c r="V106" s="36"/>
      <c r="W106" s="36"/>
    </row>
    <row r="107" spans="14:23" x14ac:dyDescent="0.25">
      <c r="N107" s="36"/>
      <c r="O107" s="36"/>
      <c r="P107" s="36"/>
      <c r="Q107" s="36"/>
      <c r="R107" s="36"/>
      <c r="S107" s="36"/>
      <c r="T107" s="36"/>
      <c r="U107" s="36"/>
      <c r="V107" s="36"/>
      <c r="W107" s="36"/>
    </row>
    <row r="108" spans="14:23" x14ac:dyDescent="0.25">
      <c r="N108" s="36"/>
      <c r="O108" s="36"/>
      <c r="P108" s="36"/>
      <c r="Q108" s="36"/>
      <c r="R108" s="36"/>
      <c r="S108" s="36"/>
      <c r="T108" s="36"/>
      <c r="U108" s="36"/>
      <c r="V108" s="36"/>
      <c r="W108" s="36"/>
    </row>
    <row r="109" spans="14:23" x14ac:dyDescent="0.25">
      <c r="N109" s="36"/>
      <c r="O109" s="36"/>
      <c r="P109" s="36"/>
      <c r="Q109" s="36"/>
      <c r="R109" s="36"/>
      <c r="S109" s="36"/>
      <c r="T109" s="36"/>
      <c r="U109" s="36"/>
      <c r="V109" s="36"/>
      <c r="W109" s="36"/>
    </row>
    <row r="110" spans="14:23" x14ac:dyDescent="0.25">
      <c r="N110" s="36"/>
      <c r="O110" s="36"/>
      <c r="P110" s="36"/>
      <c r="Q110" s="36"/>
      <c r="R110" s="36"/>
      <c r="S110" s="36"/>
      <c r="T110" s="36"/>
      <c r="U110" s="36"/>
      <c r="V110" s="36"/>
      <c r="W110" s="36"/>
    </row>
    <row r="111" spans="14:23" x14ac:dyDescent="0.25">
      <c r="N111" s="36"/>
      <c r="O111" s="36"/>
      <c r="P111" s="36"/>
      <c r="Q111" s="36"/>
      <c r="R111" s="36"/>
      <c r="S111" s="36"/>
      <c r="T111" s="36"/>
      <c r="U111" s="36"/>
      <c r="V111" s="36"/>
      <c r="W111" s="36"/>
    </row>
    <row r="112" spans="14:23" x14ac:dyDescent="0.25">
      <c r="N112" s="36"/>
      <c r="O112" s="36"/>
      <c r="P112" s="36"/>
      <c r="Q112" s="36"/>
      <c r="R112" s="36"/>
      <c r="S112" s="36"/>
      <c r="T112" s="36"/>
      <c r="U112" s="36"/>
      <c r="V112" s="36"/>
      <c r="W112" s="36"/>
    </row>
    <row r="113" spans="14:23" x14ac:dyDescent="0.25">
      <c r="N113" s="36"/>
      <c r="O113" s="36"/>
      <c r="P113" s="36"/>
      <c r="Q113" s="36"/>
      <c r="R113" s="36"/>
      <c r="S113" s="36"/>
      <c r="T113" s="36"/>
      <c r="U113" s="36"/>
      <c r="V113" s="36"/>
      <c r="W113" s="36"/>
    </row>
    <row r="114" spans="14:23" x14ac:dyDescent="0.25">
      <c r="N114" s="36"/>
      <c r="O114" s="36"/>
      <c r="P114" s="36"/>
      <c r="Q114" s="36"/>
      <c r="R114" s="36"/>
      <c r="S114" s="36"/>
      <c r="T114" s="36"/>
      <c r="U114" s="36"/>
      <c r="V114" s="36"/>
      <c r="W114" s="36"/>
    </row>
    <row r="115" spans="14:23" x14ac:dyDescent="0.25">
      <c r="N115" s="36"/>
      <c r="O115" s="36"/>
      <c r="P115" s="36"/>
      <c r="Q115" s="36"/>
      <c r="R115" s="36"/>
      <c r="S115" s="36"/>
      <c r="T115" s="36"/>
      <c r="U115" s="36"/>
      <c r="V115" s="36"/>
      <c r="W115" s="36"/>
    </row>
    <row r="116" spans="14:23" x14ac:dyDescent="0.25">
      <c r="N116" s="36"/>
      <c r="O116" s="36"/>
      <c r="P116" s="36"/>
      <c r="Q116" s="36"/>
      <c r="R116" s="36"/>
      <c r="S116" s="36"/>
      <c r="T116" s="36"/>
      <c r="U116" s="36"/>
      <c r="V116" s="36"/>
      <c r="W116" s="36"/>
    </row>
    <row r="117" spans="14:23" x14ac:dyDescent="0.25">
      <c r="N117" s="36"/>
      <c r="O117" s="36"/>
      <c r="P117" s="36"/>
      <c r="Q117" s="36"/>
      <c r="R117" s="36"/>
      <c r="S117" s="36"/>
      <c r="T117" s="36"/>
      <c r="U117" s="36"/>
      <c r="V117" s="36"/>
      <c r="W117" s="36"/>
    </row>
    <row r="118" spans="14:23" x14ac:dyDescent="0.25">
      <c r="N118" s="36"/>
      <c r="O118" s="36"/>
      <c r="P118" s="36"/>
      <c r="Q118" s="36"/>
      <c r="R118" s="36"/>
      <c r="S118" s="36"/>
      <c r="T118" s="36"/>
      <c r="U118" s="36"/>
      <c r="V118" s="36"/>
      <c r="W118" s="36"/>
    </row>
    <row r="119" spans="14:23" x14ac:dyDescent="0.25">
      <c r="N119" s="36"/>
      <c r="O119" s="36"/>
      <c r="P119" s="36"/>
      <c r="Q119" s="36"/>
      <c r="R119" s="36"/>
      <c r="S119" s="36"/>
      <c r="T119" s="36"/>
      <c r="U119" s="36"/>
      <c r="V119" s="36"/>
      <c r="W119" s="36"/>
    </row>
    <row r="120" spans="14:23" x14ac:dyDescent="0.25">
      <c r="N120" s="36"/>
      <c r="O120" s="36"/>
      <c r="P120" s="36"/>
      <c r="Q120" s="36"/>
      <c r="R120" s="36"/>
      <c r="S120" s="36"/>
      <c r="T120" s="36"/>
      <c r="U120" s="36"/>
      <c r="V120" s="36"/>
      <c r="W120" s="36"/>
    </row>
    <row r="121" spans="14:23" x14ac:dyDescent="0.25">
      <c r="N121" s="36"/>
      <c r="O121" s="36"/>
      <c r="P121" s="36"/>
      <c r="Q121" s="36"/>
      <c r="R121" s="36"/>
      <c r="S121" s="36"/>
      <c r="T121" s="36"/>
      <c r="U121" s="36"/>
      <c r="V121" s="36"/>
      <c r="W121" s="36"/>
    </row>
    <row r="122" spans="14:23" x14ac:dyDescent="0.25">
      <c r="N122" s="36"/>
      <c r="O122" s="36"/>
      <c r="P122" s="36"/>
      <c r="Q122" s="36"/>
      <c r="R122" s="36"/>
      <c r="S122" s="36"/>
      <c r="T122" s="36"/>
      <c r="U122" s="36"/>
      <c r="V122" s="36"/>
      <c r="W122" s="36"/>
    </row>
    <row r="123" spans="14:23" x14ac:dyDescent="0.25">
      <c r="N123" s="36"/>
      <c r="O123" s="36"/>
      <c r="P123" s="36"/>
      <c r="Q123" s="36"/>
      <c r="R123" s="36"/>
      <c r="S123" s="36"/>
      <c r="T123" s="36"/>
      <c r="U123" s="36"/>
      <c r="V123" s="36"/>
      <c r="W123" s="36"/>
    </row>
    <row r="124" spans="14:23" x14ac:dyDescent="0.25">
      <c r="N124" s="36"/>
      <c r="O124" s="36"/>
      <c r="P124" s="36"/>
      <c r="Q124" s="36"/>
      <c r="R124" s="36"/>
      <c r="S124" s="36"/>
      <c r="T124" s="36"/>
      <c r="U124" s="36"/>
      <c r="V124" s="36"/>
      <c r="W124" s="36"/>
    </row>
    <row r="125" spans="14:23" x14ac:dyDescent="0.25">
      <c r="N125" s="36"/>
      <c r="O125" s="36"/>
      <c r="P125" s="36"/>
      <c r="Q125" s="36"/>
      <c r="R125" s="36"/>
      <c r="S125" s="36"/>
      <c r="T125" s="36"/>
      <c r="U125" s="36"/>
      <c r="V125" s="36"/>
      <c r="W125" s="36"/>
    </row>
    <row r="126" spans="14:23" x14ac:dyDescent="0.25">
      <c r="N126" s="36"/>
      <c r="O126" s="36"/>
      <c r="P126" s="36"/>
      <c r="Q126" s="36"/>
      <c r="R126" s="36"/>
      <c r="S126" s="36"/>
      <c r="T126" s="36"/>
      <c r="U126" s="36"/>
      <c r="V126" s="36"/>
      <c r="W126" s="36"/>
    </row>
    <row r="127" spans="14:23" x14ac:dyDescent="0.25">
      <c r="N127" s="36"/>
      <c r="O127" s="36"/>
      <c r="P127" s="36"/>
      <c r="Q127" s="36"/>
      <c r="R127" s="36"/>
      <c r="S127" s="36"/>
      <c r="T127" s="36"/>
      <c r="U127" s="36"/>
      <c r="V127" s="36"/>
      <c r="W127" s="36"/>
    </row>
    <row r="128" spans="14:23" x14ac:dyDescent="0.25">
      <c r="N128" s="36"/>
      <c r="O128" s="36"/>
      <c r="P128" s="36"/>
      <c r="Q128" s="36"/>
      <c r="R128" s="36"/>
      <c r="S128" s="36"/>
      <c r="T128" s="36"/>
      <c r="U128" s="36"/>
      <c r="V128" s="36"/>
      <c r="W128" s="36"/>
    </row>
    <row r="129" spans="14:23" x14ac:dyDescent="0.25">
      <c r="N129" s="36"/>
      <c r="O129" s="36"/>
      <c r="P129" s="36"/>
      <c r="Q129" s="36"/>
      <c r="R129" s="36"/>
      <c r="S129" s="36"/>
      <c r="T129" s="36"/>
      <c r="U129" s="36"/>
      <c r="V129" s="36"/>
      <c r="W129" s="36"/>
    </row>
    <row r="130" spans="14:23" x14ac:dyDescent="0.25">
      <c r="N130" s="36"/>
      <c r="O130" s="36"/>
      <c r="P130" s="36"/>
      <c r="Q130" s="36"/>
      <c r="R130" s="36"/>
      <c r="S130" s="36"/>
      <c r="T130" s="36"/>
      <c r="U130" s="36"/>
      <c r="V130" s="36"/>
      <c r="W130" s="36"/>
    </row>
    <row r="131" spans="14:23" x14ac:dyDescent="0.25">
      <c r="N131" s="36"/>
      <c r="O131" s="36"/>
      <c r="P131" s="36"/>
      <c r="Q131" s="36"/>
      <c r="R131" s="36"/>
      <c r="S131" s="36"/>
      <c r="T131" s="36"/>
      <c r="U131" s="36"/>
      <c r="V131" s="36"/>
      <c r="W131" s="36"/>
    </row>
    <row r="132" spans="14:23" x14ac:dyDescent="0.25">
      <c r="N132" s="36"/>
      <c r="O132" s="36"/>
      <c r="P132" s="36"/>
      <c r="Q132" s="36"/>
      <c r="R132" s="36"/>
      <c r="S132" s="36"/>
      <c r="T132" s="36"/>
      <c r="U132" s="36"/>
      <c r="V132" s="36"/>
      <c r="W132" s="36"/>
    </row>
    <row r="133" spans="14:23" x14ac:dyDescent="0.25">
      <c r="N133" s="36"/>
      <c r="O133" s="36"/>
      <c r="P133" s="36"/>
      <c r="Q133" s="36"/>
      <c r="R133" s="36"/>
      <c r="S133" s="36"/>
      <c r="T133" s="36"/>
      <c r="U133" s="36"/>
      <c r="V133" s="36"/>
      <c r="W133" s="36"/>
    </row>
    <row r="134" spans="14:23" x14ac:dyDescent="0.25">
      <c r="N134" s="36"/>
      <c r="O134" s="36"/>
      <c r="P134" s="36"/>
      <c r="Q134" s="36"/>
      <c r="R134" s="36"/>
      <c r="S134" s="36"/>
      <c r="T134" s="36"/>
      <c r="U134" s="36"/>
      <c r="V134" s="36"/>
      <c r="W134" s="36"/>
    </row>
    <row r="135" spans="14:23" x14ac:dyDescent="0.25">
      <c r="N135" s="36"/>
      <c r="O135" s="36"/>
      <c r="P135" s="36"/>
      <c r="Q135" s="36"/>
      <c r="R135" s="36"/>
      <c r="S135" s="36"/>
      <c r="T135" s="36"/>
      <c r="U135" s="36"/>
      <c r="V135" s="36"/>
      <c r="W135" s="36"/>
    </row>
    <row r="136" spans="14:23" x14ac:dyDescent="0.25">
      <c r="N136" s="36"/>
      <c r="O136" s="36"/>
      <c r="P136" s="36"/>
      <c r="Q136" s="36"/>
      <c r="R136" s="36"/>
      <c r="S136" s="36"/>
      <c r="T136" s="36"/>
      <c r="U136" s="36"/>
      <c r="V136" s="36"/>
      <c r="W136" s="36"/>
    </row>
    <row r="137" spans="14:23" x14ac:dyDescent="0.25">
      <c r="N137" s="36"/>
      <c r="O137" s="36"/>
      <c r="P137" s="36"/>
      <c r="Q137" s="36"/>
      <c r="R137" s="36"/>
      <c r="S137" s="36"/>
      <c r="T137" s="36"/>
      <c r="U137" s="36"/>
      <c r="V137" s="36"/>
      <c r="W137" s="36"/>
    </row>
    <row r="138" spans="14:23" x14ac:dyDescent="0.25">
      <c r="N138" s="36"/>
      <c r="O138" s="36"/>
      <c r="P138" s="36"/>
      <c r="Q138" s="36"/>
      <c r="R138" s="36"/>
      <c r="S138" s="36"/>
      <c r="T138" s="36"/>
      <c r="U138" s="36"/>
      <c r="V138" s="36"/>
      <c r="W138" s="36"/>
    </row>
    <row r="139" spans="14:23" x14ac:dyDescent="0.25">
      <c r="N139" s="36"/>
      <c r="O139" s="36"/>
      <c r="P139" s="36"/>
      <c r="Q139" s="36"/>
      <c r="R139" s="36"/>
      <c r="S139" s="36"/>
      <c r="T139" s="36"/>
      <c r="U139" s="36"/>
      <c r="V139" s="36"/>
      <c r="W139" s="36"/>
    </row>
    <row r="140" spans="14:23" x14ac:dyDescent="0.25">
      <c r="N140" s="36"/>
      <c r="O140" s="36"/>
      <c r="P140" s="36"/>
      <c r="Q140" s="36"/>
      <c r="R140" s="36"/>
      <c r="S140" s="36"/>
      <c r="T140" s="36"/>
      <c r="U140" s="36"/>
      <c r="V140" s="36"/>
      <c r="W140" s="36"/>
    </row>
    <row r="141" spans="14:23" x14ac:dyDescent="0.25">
      <c r="N141" s="36"/>
      <c r="O141" s="36"/>
      <c r="P141" s="36"/>
      <c r="Q141" s="36"/>
      <c r="R141" s="36"/>
      <c r="S141" s="36"/>
      <c r="T141" s="36"/>
      <c r="U141" s="36"/>
      <c r="V141" s="36"/>
      <c r="W141" s="36"/>
    </row>
    <row r="142" spans="14:23" x14ac:dyDescent="0.25">
      <c r="N142" s="36"/>
      <c r="O142" s="36"/>
      <c r="P142" s="36"/>
      <c r="Q142" s="36"/>
      <c r="R142" s="36"/>
      <c r="S142" s="36"/>
      <c r="T142" s="36"/>
      <c r="U142" s="36"/>
      <c r="V142" s="36"/>
      <c r="W142" s="36"/>
    </row>
    <row r="143" spans="14:23" x14ac:dyDescent="0.25">
      <c r="N143" s="36"/>
      <c r="O143" s="36"/>
      <c r="P143" s="36"/>
      <c r="Q143" s="36"/>
      <c r="R143" s="36"/>
      <c r="S143" s="36"/>
      <c r="T143" s="36"/>
      <c r="U143" s="36"/>
      <c r="V143" s="36"/>
      <c r="W143" s="36"/>
    </row>
    <row r="144" spans="14:23" x14ac:dyDescent="0.25">
      <c r="N144" s="36"/>
      <c r="O144" s="36"/>
      <c r="P144" s="36"/>
      <c r="Q144" s="36"/>
      <c r="R144" s="36"/>
      <c r="S144" s="36"/>
      <c r="T144" s="36"/>
      <c r="U144" s="36"/>
      <c r="V144" s="36"/>
      <c r="W144" s="36"/>
    </row>
    <row r="145" spans="14:23" x14ac:dyDescent="0.25">
      <c r="N145" s="36"/>
      <c r="O145" s="36"/>
      <c r="P145" s="36"/>
      <c r="Q145" s="36"/>
      <c r="R145" s="36"/>
      <c r="S145" s="36"/>
      <c r="T145" s="36"/>
      <c r="U145" s="36"/>
      <c r="V145" s="36"/>
      <c r="W145" s="36"/>
    </row>
    <row r="146" spans="14:23" x14ac:dyDescent="0.25">
      <c r="N146" s="36"/>
      <c r="O146" s="36"/>
      <c r="P146" s="36"/>
      <c r="Q146" s="36"/>
      <c r="R146" s="36"/>
      <c r="S146" s="36"/>
      <c r="T146" s="36"/>
      <c r="U146" s="36"/>
      <c r="V146" s="36"/>
      <c r="W146" s="36"/>
    </row>
    <row r="147" spans="14:23" x14ac:dyDescent="0.25">
      <c r="N147" s="36"/>
      <c r="O147" s="36"/>
      <c r="P147" s="36"/>
      <c r="Q147" s="36"/>
      <c r="R147" s="36"/>
      <c r="S147" s="36"/>
      <c r="T147" s="36"/>
      <c r="U147" s="36"/>
      <c r="V147" s="36"/>
      <c r="W147" s="36"/>
    </row>
    <row r="148" spans="14:23" x14ac:dyDescent="0.25">
      <c r="N148" s="36"/>
      <c r="O148" s="36"/>
      <c r="P148" s="36"/>
      <c r="Q148" s="36"/>
      <c r="R148" s="36"/>
      <c r="S148" s="36"/>
      <c r="T148" s="36"/>
      <c r="U148" s="36"/>
      <c r="V148" s="36"/>
      <c r="W148" s="36"/>
    </row>
    <row r="149" spans="14:23" x14ac:dyDescent="0.25">
      <c r="N149" s="36"/>
      <c r="O149" s="36"/>
      <c r="P149" s="36"/>
      <c r="Q149" s="36"/>
      <c r="R149" s="36"/>
      <c r="S149" s="36"/>
      <c r="T149" s="36"/>
      <c r="U149" s="36"/>
      <c r="V149" s="36"/>
      <c r="W149" s="36"/>
    </row>
    <row r="150" spans="14:23" x14ac:dyDescent="0.25">
      <c r="N150" s="36"/>
      <c r="O150" s="36"/>
      <c r="P150" s="36"/>
      <c r="Q150" s="36"/>
      <c r="R150" s="36"/>
      <c r="S150" s="36"/>
      <c r="T150" s="36"/>
      <c r="U150" s="36"/>
      <c r="V150" s="36"/>
      <c r="W150" s="36"/>
    </row>
    <row r="151" spans="14:23" x14ac:dyDescent="0.25">
      <c r="N151" s="36"/>
      <c r="O151" s="36"/>
      <c r="P151" s="36"/>
      <c r="Q151" s="36"/>
      <c r="R151" s="36"/>
      <c r="S151" s="36"/>
      <c r="T151" s="36"/>
      <c r="U151" s="36"/>
      <c r="V151" s="36"/>
      <c r="W151" s="36"/>
    </row>
    <row r="152" spans="14:23" x14ac:dyDescent="0.25">
      <c r="N152" s="36"/>
      <c r="O152" s="36"/>
      <c r="P152" s="36"/>
      <c r="Q152" s="36"/>
      <c r="R152" s="36"/>
      <c r="S152" s="36"/>
      <c r="T152" s="36"/>
      <c r="U152" s="36"/>
      <c r="V152" s="36"/>
      <c r="W152" s="36"/>
    </row>
    <row r="153" spans="14:23" x14ac:dyDescent="0.25">
      <c r="N153" s="36"/>
      <c r="O153" s="36"/>
      <c r="P153" s="36"/>
      <c r="Q153" s="36"/>
      <c r="R153" s="36"/>
      <c r="S153" s="36"/>
      <c r="T153" s="36"/>
      <c r="U153" s="36"/>
      <c r="V153" s="36"/>
      <c r="W153" s="36"/>
    </row>
    <row r="154" spans="14:23" x14ac:dyDescent="0.25">
      <c r="N154" s="36"/>
      <c r="O154" s="36"/>
      <c r="P154" s="36"/>
      <c r="Q154" s="36"/>
      <c r="R154" s="36"/>
      <c r="S154" s="36"/>
      <c r="T154" s="36"/>
      <c r="U154" s="36"/>
      <c r="V154" s="36"/>
      <c r="W154" s="36"/>
    </row>
    <row r="155" spans="14:23" x14ac:dyDescent="0.25">
      <c r="N155" s="36"/>
      <c r="O155" s="36"/>
      <c r="P155" s="36"/>
      <c r="Q155" s="36"/>
      <c r="R155" s="36"/>
      <c r="S155" s="36"/>
      <c r="T155" s="36"/>
      <c r="U155" s="36"/>
      <c r="V155" s="36"/>
      <c r="W155" s="36"/>
    </row>
    <row r="156" spans="14:23" x14ac:dyDescent="0.25">
      <c r="N156" s="36"/>
      <c r="O156" s="36"/>
      <c r="P156" s="36"/>
      <c r="Q156" s="36"/>
      <c r="R156" s="36"/>
      <c r="S156" s="36"/>
      <c r="T156" s="36"/>
      <c r="U156" s="36"/>
      <c r="V156" s="36"/>
      <c r="W156" s="36"/>
    </row>
    <row r="157" spans="14:23" x14ac:dyDescent="0.25">
      <c r="N157" s="36"/>
      <c r="O157" s="36"/>
      <c r="P157" s="36"/>
      <c r="Q157" s="36"/>
      <c r="R157" s="36"/>
      <c r="S157" s="36"/>
      <c r="T157" s="36"/>
      <c r="U157" s="36"/>
      <c r="V157" s="36"/>
      <c r="W157" s="36"/>
    </row>
    <row r="158" spans="14:23" x14ac:dyDescent="0.25">
      <c r="N158" s="36"/>
      <c r="O158" s="36"/>
      <c r="P158" s="36"/>
      <c r="Q158" s="36"/>
      <c r="R158" s="36"/>
      <c r="S158" s="36"/>
      <c r="T158" s="36"/>
      <c r="U158" s="36"/>
      <c r="V158" s="36"/>
      <c r="W158" s="36"/>
    </row>
    <row r="159" spans="14:23" x14ac:dyDescent="0.25">
      <c r="N159" s="36"/>
      <c r="O159" s="36"/>
      <c r="P159" s="36"/>
      <c r="Q159" s="36"/>
      <c r="R159" s="36"/>
      <c r="S159" s="36"/>
      <c r="T159" s="36"/>
      <c r="U159" s="36"/>
      <c r="V159" s="36"/>
      <c r="W159" s="36"/>
    </row>
    <row r="160" spans="14:23" x14ac:dyDescent="0.25">
      <c r="N160" s="36"/>
      <c r="O160" s="36"/>
      <c r="P160" s="36"/>
      <c r="Q160" s="36"/>
      <c r="R160" s="36"/>
      <c r="S160" s="36"/>
      <c r="T160" s="36"/>
      <c r="U160" s="36"/>
      <c r="V160" s="36"/>
      <c r="W160" s="36"/>
    </row>
    <row r="161" spans="14:23" x14ac:dyDescent="0.25">
      <c r="N161" s="36"/>
      <c r="O161" s="36"/>
      <c r="P161" s="36"/>
      <c r="Q161" s="36"/>
      <c r="R161" s="36"/>
      <c r="S161" s="36"/>
      <c r="T161" s="36"/>
      <c r="U161" s="36"/>
      <c r="V161" s="36"/>
      <c r="W161" s="36"/>
    </row>
    <row r="162" spans="14:23" x14ac:dyDescent="0.25">
      <c r="N162" s="36"/>
      <c r="O162" s="36"/>
      <c r="P162" s="36"/>
      <c r="Q162" s="36"/>
      <c r="R162" s="36"/>
      <c r="S162" s="36"/>
      <c r="T162" s="36"/>
      <c r="U162" s="36"/>
      <c r="V162" s="36"/>
      <c r="W162" s="36"/>
    </row>
    <row r="163" spans="14:23" x14ac:dyDescent="0.25">
      <c r="N163" s="36"/>
      <c r="O163" s="36"/>
      <c r="P163" s="36"/>
      <c r="Q163" s="36"/>
      <c r="R163" s="36"/>
      <c r="S163" s="36"/>
      <c r="T163" s="36"/>
      <c r="U163" s="36"/>
      <c r="V163" s="36"/>
      <c r="W163" s="36"/>
    </row>
    <row r="164" spans="14:23" x14ac:dyDescent="0.25">
      <c r="N164" s="36"/>
      <c r="O164" s="36"/>
      <c r="P164" s="36"/>
      <c r="Q164" s="36"/>
      <c r="R164" s="36"/>
      <c r="S164" s="36"/>
      <c r="T164" s="36"/>
      <c r="U164" s="36"/>
      <c r="V164" s="36"/>
      <c r="W164" s="36"/>
    </row>
    <row r="165" spans="14:23" x14ac:dyDescent="0.25">
      <c r="N165" s="36"/>
      <c r="O165" s="36"/>
      <c r="P165" s="36"/>
      <c r="Q165" s="36"/>
      <c r="R165" s="36"/>
      <c r="S165" s="36"/>
      <c r="T165" s="36"/>
      <c r="U165" s="36"/>
      <c r="V165" s="36"/>
      <c r="W165" s="36"/>
    </row>
    <row r="166" spans="14:23" x14ac:dyDescent="0.25">
      <c r="N166" s="36"/>
      <c r="O166" s="36"/>
      <c r="P166" s="36"/>
      <c r="Q166" s="36"/>
      <c r="R166" s="36"/>
      <c r="S166" s="36"/>
      <c r="T166" s="36"/>
      <c r="U166" s="36"/>
      <c r="V166" s="36"/>
      <c r="W166" s="36"/>
    </row>
    <row r="167" spans="14:23" x14ac:dyDescent="0.25">
      <c r="N167" s="36"/>
      <c r="O167" s="36"/>
      <c r="P167" s="36"/>
      <c r="Q167" s="36"/>
      <c r="R167" s="36"/>
      <c r="S167" s="36"/>
      <c r="T167" s="36"/>
      <c r="U167" s="36"/>
      <c r="V167" s="36"/>
      <c r="W167" s="36"/>
    </row>
    <row r="168" spans="14:23" x14ac:dyDescent="0.25">
      <c r="N168" s="36"/>
      <c r="O168" s="36"/>
      <c r="P168" s="36"/>
      <c r="Q168" s="36"/>
      <c r="R168" s="36"/>
      <c r="S168" s="36"/>
      <c r="T168" s="36"/>
      <c r="U168" s="36"/>
      <c r="V168" s="36"/>
      <c r="W168" s="36"/>
    </row>
    <row r="169" spans="14:23" x14ac:dyDescent="0.25">
      <c r="N169" s="36"/>
      <c r="O169" s="36"/>
      <c r="P169" s="36"/>
      <c r="Q169" s="36"/>
      <c r="R169" s="36"/>
      <c r="S169" s="36"/>
      <c r="T169" s="36"/>
      <c r="U169" s="36"/>
      <c r="V169" s="36"/>
      <c r="W169" s="36"/>
    </row>
    <row r="170" spans="14:23" x14ac:dyDescent="0.25">
      <c r="N170" s="36"/>
      <c r="O170" s="36"/>
      <c r="P170" s="36"/>
      <c r="Q170" s="36"/>
      <c r="R170" s="36"/>
      <c r="S170" s="36"/>
      <c r="T170" s="36"/>
      <c r="U170" s="36"/>
      <c r="V170" s="36"/>
      <c r="W170" s="36"/>
    </row>
    <row r="171" spans="14:23" x14ac:dyDescent="0.25">
      <c r="N171" s="36"/>
      <c r="O171" s="36"/>
      <c r="P171" s="36"/>
      <c r="Q171" s="36"/>
      <c r="R171" s="36"/>
      <c r="S171" s="36"/>
      <c r="T171" s="36"/>
      <c r="U171" s="36"/>
      <c r="V171" s="36"/>
      <c r="W171" s="36"/>
    </row>
    <row r="172" spans="14:23" x14ac:dyDescent="0.25">
      <c r="N172" s="36"/>
      <c r="O172" s="36"/>
      <c r="P172" s="36"/>
      <c r="Q172" s="36"/>
      <c r="R172" s="36"/>
      <c r="S172" s="36"/>
      <c r="T172" s="36"/>
      <c r="U172" s="36"/>
      <c r="V172" s="36"/>
      <c r="W172" s="36"/>
    </row>
    <row r="173" spans="14:23" x14ac:dyDescent="0.25">
      <c r="N173" s="36"/>
      <c r="O173" s="36"/>
      <c r="P173" s="36"/>
      <c r="Q173" s="36"/>
      <c r="R173" s="36"/>
      <c r="S173" s="36"/>
      <c r="T173" s="36"/>
      <c r="U173" s="36"/>
      <c r="V173" s="36"/>
      <c r="W173" s="36"/>
    </row>
    <row r="174" spans="14:23" x14ac:dyDescent="0.25">
      <c r="N174" s="36"/>
      <c r="O174" s="36"/>
      <c r="P174" s="36"/>
      <c r="Q174" s="36"/>
      <c r="R174" s="36"/>
      <c r="S174" s="36"/>
      <c r="T174" s="36"/>
      <c r="U174" s="36"/>
      <c r="V174" s="36"/>
      <c r="W174" s="36"/>
    </row>
    <row r="175" spans="14:23" x14ac:dyDescent="0.25">
      <c r="N175" s="36"/>
      <c r="O175" s="36"/>
      <c r="P175" s="36"/>
      <c r="Q175" s="36"/>
      <c r="R175" s="36"/>
      <c r="S175" s="36"/>
      <c r="T175" s="36"/>
      <c r="U175" s="36"/>
      <c r="V175" s="36"/>
      <c r="W175" s="36"/>
    </row>
    <row r="176" spans="14:23" x14ac:dyDescent="0.25">
      <c r="N176" s="36"/>
      <c r="O176" s="36"/>
      <c r="P176" s="36"/>
      <c r="Q176" s="36"/>
      <c r="R176" s="36"/>
      <c r="S176" s="36"/>
      <c r="T176" s="36"/>
      <c r="U176" s="36"/>
      <c r="V176" s="36"/>
      <c r="W176" s="36"/>
    </row>
    <row r="177" spans="14:23" x14ac:dyDescent="0.25">
      <c r="N177" s="36"/>
      <c r="O177" s="36"/>
      <c r="P177" s="36"/>
      <c r="Q177" s="36"/>
      <c r="R177" s="36"/>
      <c r="S177" s="36"/>
      <c r="T177" s="36"/>
      <c r="U177" s="36"/>
      <c r="V177" s="36"/>
      <c r="W177" s="36"/>
    </row>
    <row r="178" spans="14:23" x14ac:dyDescent="0.25">
      <c r="N178" s="36"/>
      <c r="O178" s="36"/>
      <c r="P178" s="36"/>
      <c r="Q178" s="36"/>
      <c r="R178" s="36"/>
      <c r="S178" s="36"/>
      <c r="T178" s="36"/>
      <c r="U178" s="36"/>
      <c r="V178" s="36"/>
      <c r="W178" s="36"/>
    </row>
    <row r="179" spans="14:23" x14ac:dyDescent="0.25">
      <c r="N179" s="36"/>
      <c r="O179" s="36"/>
      <c r="P179" s="36"/>
      <c r="Q179" s="36"/>
      <c r="R179" s="36"/>
      <c r="S179" s="36"/>
      <c r="T179" s="36"/>
      <c r="U179" s="36"/>
      <c r="V179" s="36"/>
      <c r="W179" s="36"/>
    </row>
    <row r="180" spans="14:23" x14ac:dyDescent="0.25">
      <c r="N180" s="36"/>
      <c r="O180" s="36"/>
      <c r="P180" s="36"/>
      <c r="Q180" s="36"/>
      <c r="R180" s="36"/>
      <c r="S180" s="36"/>
      <c r="T180" s="36"/>
      <c r="U180" s="36"/>
      <c r="V180" s="36"/>
      <c r="W180" s="36"/>
    </row>
    <row r="181" spans="14:23" x14ac:dyDescent="0.25">
      <c r="N181" s="36"/>
      <c r="O181" s="36"/>
      <c r="P181" s="36"/>
      <c r="Q181" s="36"/>
      <c r="R181" s="36"/>
      <c r="S181" s="36"/>
      <c r="T181" s="36"/>
      <c r="U181" s="36"/>
      <c r="V181" s="36"/>
      <c r="W181" s="36"/>
    </row>
    <row r="182" spans="14:23" x14ac:dyDescent="0.25">
      <c r="N182" s="36"/>
      <c r="O182" s="36"/>
      <c r="P182" s="36"/>
      <c r="Q182" s="36"/>
      <c r="R182" s="36"/>
      <c r="S182" s="36"/>
      <c r="T182" s="36"/>
      <c r="U182" s="36"/>
      <c r="V182" s="36"/>
      <c r="W182" s="36"/>
    </row>
    <row r="183" spans="14:23" x14ac:dyDescent="0.25">
      <c r="N183" s="36"/>
      <c r="O183" s="36"/>
      <c r="P183" s="36"/>
      <c r="Q183" s="36"/>
      <c r="R183" s="36"/>
      <c r="S183" s="36"/>
      <c r="T183" s="36"/>
      <c r="U183" s="36"/>
      <c r="V183" s="36"/>
      <c r="W183" s="36"/>
    </row>
    <row r="184" spans="14:23" x14ac:dyDescent="0.25">
      <c r="N184" s="36"/>
      <c r="O184" s="36"/>
      <c r="P184" s="36"/>
      <c r="Q184" s="36"/>
      <c r="R184" s="36"/>
      <c r="S184" s="36"/>
      <c r="T184" s="36"/>
      <c r="U184" s="36"/>
      <c r="V184" s="36"/>
      <c r="W184" s="36"/>
    </row>
    <row r="185" spans="14:23" x14ac:dyDescent="0.25">
      <c r="N185" s="36"/>
      <c r="O185" s="36"/>
      <c r="P185" s="36"/>
      <c r="Q185" s="36"/>
      <c r="R185" s="36"/>
      <c r="S185" s="36"/>
      <c r="T185" s="36"/>
      <c r="U185" s="36"/>
      <c r="V185" s="36"/>
      <c r="W185" s="36"/>
    </row>
    <row r="186" spans="14:23" x14ac:dyDescent="0.25">
      <c r="N186" s="36"/>
      <c r="O186" s="36"/>
      <c r="P186" s="36"/>
      <c r="Q186" s="36"/>
      <c r="R186" s="36"/>
      <c r="S186" s="36"/>
      <c r="T186" s="36"/>
      <c r="U186" s="36"/>
      <c r="V186" s="36"/>
      <c r="W186" s="36"/>
    </row>
    <row r="187" spans="14:23" x14ac:dyDescent="0.25">
      <c r="N187" s="36"/>
      <c r="O187" s="36"/>
      <c r="P187" s="36"/>
      <c r="Q187" s="36"/>
      <c r="R187" s="36"/>
      <c r="S187" s="36"/>
      <c r="T187" s="36"/>
      <c r="U187" s="36"/>
      <c r="V187" s="36"/>
      <c r="W187" s="36"/>
    </row>
    <row r="188" spans="14:23" x14ac:dyDescent="0.25">
      <c r="N188" s="36"/>
      <c r="O188" s="36"/>
      <c r="P188" s="36"/>
      <c r="Q188" s="36"/>
      <c r="R188" s="36"/>
      <c r="S188" s="36"/>
      <c r="T188" s="36"/>
      <c r="U188" s="36"/>
      <c r="V188" s="36"/>
      <c r="W188" s="36"/>
    </row>
    <row r="189" spans="14:23" x14ac:dyDescent="0.25">
      <c r="N189" s="36"/>
      <c r="O189" s="36"/>
      <c r="P189" s="36"/>
      <c r="Q189" s="36"/>
      <c r="R189" s="36"/>
      <c r="S189" s="36"/>
      <c r="T189" s="36"/>
      <c r="U189" s="36"/>
      <c r="V189" s="36"/>
      <c r="W189" s="36"/>
    </row>
    <row r="190" spans="14:23" x14ac:dyDescent="0.25">
      <c r="N190" s="36"/>
      <c r="O190" s="36"/>
      <c r="P190" s="36"/>
      <c r="Q190" s="36"/>
      <c r="R190" s="36"/>
      <c r="S190" s="36"/>
      <c r="T190" s="36"/>
      <c r="U190" s="36"/>
      <c r="V190" s="36"/>
      <c r="W190" s="36"/>
    </row>
    <row r="191" spans="14:23" x14ac:dyDescent="0.25">
      <c r="N191" s="36"/>
      <c r="O191" s="36"/>
      <c r="P191" s="36"/>
      <c r="Q191" s="36"/>
      <c r="R191" s="36"/>
      <c r="S191" s="36"/>
      <c r="T191" s="36"/>
      <c r="U191" s="36"/>
      <c r="V191" s="36"/>
      <c r="W191" s="36"/>
    </row>
    <row r="192" spans="14:23" x14ac:dyDescent="0.25">
      <c r="N192" s="36"/>
      <c r="O192" s="36"/>
      <c r="P192" s="36"/>
      <c r="Q192" s="36"/>
      <c r="R192" s="36"/>
      <c r="S192" s="36"/>
      <c r="T192" s="36"/>
      <c r="U192" s="36"/>
      <c r="V192" s="36"/>
      <c r="W192" s="36"/>
    </row>
    <row r="193" spans="14:23" x14ac:dyDescent="0.25">
      <c r="N193" s="36"/>
      <c r="O193" s="36"/>
      <c r="P193" s="36"/>
      <c r="Q193" s="36"/>
      <c r="R193" s="36"/>
      <c r="S193" s="36"/>
      <c r="T193" s="36"/>
      <c r="U193" s="36"/>
      <c r="V193" s="36"/>
      <c r="W193" s="36"/>
    </row>
    <row r="194" spans="14:23" x14ac:dyDescent="0.25">
      <c r="N194" s="36"/>
      <c r="O194" s="36"/>
      <c r="P194" s="36"/>
      <c r="Q194" s="36"/>
      <c r="R194" s="36"/>
      <c r="S194" s="36"/>
      <c r="T194" s="36"/>
      <c r="U194" s="36"/>
      <c r="V194" s="36"/>
      <c r="W194" s="36"/>
    </row>
    <row r="195" spans="14:23" x14ac:dyDescent="0.25">
      <c r="N195" s="36"/>
      <c r="O195" s="36"/>
      <c r="P195" s="36"/>
      <c r="Q195" s="36"/>
      <c r="R195" s="36"/>
      <c r="S195" s="36"/>
      <c r="T195" s="36"/>
      <c r="U195" s="36"/>
      <c r="V195" s="36"/>
      <c r="W195" s="36"/>
    </row>
    <row r="196" spans="14:23" x14ac:dyDescent="0.25">
      <c r="N196" s="36"/>
      <c r="O196" s="36"/>
      <c r="P196" s="36"/>
      <c r="Q196" s="36"/>
      <c r="R196" s="36"/>
      <c r="S196" s="36"/>
      <c r="T196" s="36"/>
      <c r="U196" s="36"/>
      <c r="V196" s="36"/>
      <c r="W196" s="36"/>
    </row>
    <row r="197" spans="14:23" x14ac:dyDescent="0.25">
      <c r="N197" s="36"/>
      <c r="O197" s="36"/>
      <c r="P197" s="36"/>
      <c r="Q197" s="36"/>
      <c r="R197" s="36"/>
      <c r="S197" s="36"/>
      <c r="T197" s="36"/>
      <c r="U197" s="36"/>
      <c r="V197" s="36"/>
      <c r="W197" s="36"/>
    </row>
    <row r="198" spans="14:23" x14ac:dyDescent="0.25">
      <c r="N198" s="36"/>
      <c r="O198" s="36"/>
      <c r="P198" s="36"/>
      <c r="Q198" s="36"/>
      <c r="R198" s="36"/>
      <c r="S198" s="36"/>
      <c r="T198" s="36"/>
      <c r="U198" s="36"/>
      <c r="V198" s="36"/>
      <c r="W198" s="36"/>
    </row>
    <row r="199" spans="14:23" x14ac:dyDescent="0.25">
      <c r="N199" s="36"/>
      <c r="O199" s="36"/>
      <c r="P199" s="36"/>
      <c r="Q199" s="36"/>
      <c r="R199" s="36"/>
      <c r="S199" s="36"/>
      <c r="T199" s="36"/>
      <c r="U199" s="36"/>
      <c r="V199" s="36"/>
      <c r="W199" s="36"/>
    </row>
    <row r="200" spans="14:23" x14ac:dyDescent="0.25">
      <c r="N200" s="36"/>
      <c r="O200" s="36"/>
      <c r="P200" s="36"/>
      <c r="Q200" s="36"/>
      <c r="R200" s="36"/>
      <c r="S200" s="36"/>
      <c r="T200" s="36"/>
      <c r="U200" s="36"/>
      <c r="V200" s="36"/>
      <c r="W200" s="36"/>
    </row>
    <row r="201" spans="14:23" x14ac:dyDescent="0.25">
      <c r="N201" s="36"/>
      <c r="O201" s="36"/>
      <c r="P201" s="36"/>
      <c r="Q201" s="36"/>
      <c r="R201" s="36"/>
      <c r="S201" s="36"/>
      <c r="T201" s="36"/>
      <c r="U201" s="36"/>
      <c r="V201" s="36"/>
      <c r="W201" s="36"/>
    </row>
    <row r="202" spans="14:23" x14ac:dyDescent="0.25">
      <c r="N202" s="36"/>
      <c r="O202" s="36"/>
      <c r="P202" s="36"/>
      <c r="Q202" s="36"/>
      <c r="R202" s="36"/>
      <c r="S202" s="36"/>
      <c r="T202" s="36"/>
      <c r="U202" s="36"/>
      <c r="V202" s="36"/>
      <c r="W202" s="36"/>
    </row>
    <row r="203" spans="14:23" x14ac:dyDescent="0.25">
      <c r="N203" s="36"/>
      <c r="O203" s="36"/>
      <c r="P203" s="36"/>
      <c r="Q203" s="36"/>
      <c r="R203" s="36"/>
      <c r="S203" s="36"/>
      <c r="T203" s="36"/>
      <c r="U203" s="36"/>
      <c r="V203" s="36"/>
      <c r="W203" s="36"/>
    </row>
    <row r="204" spans="14:23" x14ac:dyDescent="0.25">
      <c r="N204" s="36"/>
      <c r="O204" s="36"/>
      <c r="P204" s="36"/>
      <c r="Q204" s="36"/>
      <c r="R204" s="36"/>
      <c r="S204" s="36"/>
      <c r="T204" s="36"/>
      <c r="U204" s="36"/>
      <c r="V204" s="36"/>
      <c r="W204" s="36"/>
    </row>
    <row r="205" spans="14:23" x14ac:dyDescent="0.25">
      <c r="N205" s="36"/>
      <c r="O205" s="36"/>
      <c r="P205" s="36"/>
      <c r="Q205" s="36"/>
      <c r="R205" s="36"/>
      <c r="S205" s="36"/>
      <c r="T205" s="36"/>
      <c r="U205" s="36"/>
      <c r="V205" s="36"/>
      <c r="W205" s="36"/>
    </row>
    <row r="206" spans="14:23" x14ac:dyDescent="0.25">
      <c r="N206" s="36"/>
      <c r="O206" s="36"/>
      <c r="P206" s="36"/>
      <c r="Q206" s="36"/>
      <c r="R206" s="36"/>
      <c r="S206" s="36"/>
      <c r="T206" s="36"/>
      <c r="U206" s="36"/>
      <c r="V206" s="36"/>
      <c r="W206" s="36"/>
    </row>
    <row r="207" spans="14:23" x14ac:dyDescent="0.25">
      <c r="N207" s="36"/>
      <c r="O207" s="36"/>
      <c r="P207" s="36"/>
      <c r="Q207" s="36"/>
      <c r="R207" s="36"/>
      <c r="S207" s="36"/>
      <c r="T207" s="36"/>
      <c r="U207" s="36"/>
      <c r="V207" s="36"/>
      <c r="W207" s="36"/>
    </row>
    <row r="208" spans="14:23" x14ac:dyDescent="0.25">
      <c r="N208" s="36"/>
      <c r="O208" s="36"/>
      <c r="P208" s="36"/>
      <c r="Q208" s="36"/>
      <c r="R208" s="36"/>
      <c r="S208" s="36"/>
      <c r="T208" s="36"/>
      <c r="U208" s="36"/>
      <c r="V208" s="36"/>
      <c r="W208" s="36"/>
    </row>
    <row r="209" spans="14:23" x14ac:dyDescent="0.25">
      <c r="N209" s="36"/>
      <c r="O209" s="36"/>
      <c r="P209" s="36"/>
      <c r="Q209" s="36"/>
      <c r="R209" s="36"/>
      <c r="S209" s="36"/>
      <c r="T209" s="36"/>
      <c r="U209" s="36"/>
      <c r="V209" s="36"/>
      <c r="W209" s="36"/>
    </row>
    <row r="210" spans="14:23" x14ac:dyDescent="0.25">
      <c r="N210" s="36"/>
      <c r="O210" s="36"/>
      <c r="P210" s="36"/>
      <c r="Q210" s="36"/>
      <c r="R210" s="36"/>
      <c r="S210" s="36"/>
      <c r="T210" s="36"/>
      <c r="U210" s="36"/>
      <c r="V210" s="36"/>
      <c r="W210" s="36"/>
    </row>
    <row r="211" spans="14:23" x14ac:dyDescent="0.25">
      <c r="N211" s="36"/>
      <c r="O211" s="36"/>
      <c r="P211" s="36"/>
      <c r="Q211" s="36"/>
      <c r="R211" s="36"/>
      <c r="S211" s="36"/>
      <c r="T211" s="36"/>
      <c r="U211" s="36"/>
      <c r="V211" s="36"/>
      <c r="W211" s="36"/>
    </row>
    <row r="212" spans="14:23" x14ac:dyDescent="0.25">
      <c r="N212" s="36"/>
      <c r="O212" s="36"/>
      <c r="P212" s="36"/>
      <c r="Q212" s="36"/>
      <c r="R212" s="36"/>
      <c r="S212" s="36"/>
      <c r="T212" s="36"/>
      <c r="U212" s="36"/>
      <c r="V212" s="36"/>
      <c r="W212" s="36"/>
    </row>
    <row r="213" spans="14:23" x14ac:dyDescent="0.25">
      <c r="N213" s="36"/>
      <c r="O213" s="36"/>
      <c r="P213" s="36"/>
      <c r="Q213" s="36"/>
      <c r="R213" s="36"/>
      <c r="S213" s="36"/>
      <c r="T213" s="36"/>
      <c r="U213" s="36"/>
      <c r="V213" s="36"/>
      <c r="W213" s="36"/>
    </row>
    <row r="214" spans="14:23" x14ac:dyDescent="0.25">
      <c r="N214" s="36"/>
      <c r="O214" s="36"/>
      <c r="P214" s="36"/>
      <c r="Q214" s="36"/>
      <c r="R214" s="36"/>
      <c r="S214" s="36"/>
      <c r="T214" s="36"/>
      <c r="U214" s="36"/>
      <c r="V214" s="36"/>
      <c r="W214" s="36"/>
    </row>
    <row r="215" spans="14:23" x14ac:dyDescent="0.25">
      <c r="N215" s="36"/>
      <c r="O215" s="36"/>
      <c r="P215" s="36"/>
      <c r="Q215" s="36"/>
      <c r="R215" s="36"/>
      <c r="S215" s="36"/>
      <c r="T215" s="36"/>
      <c r="U215" s="36"/>
      <c r="V215" s="36"/>
      <c r="W215" s="36"/>
    </row>
    <row r="216" spans="14:23" x14ac:dyDescent="0.25">
      <c r="N216" s="36"/>
      <c r="O216" s="36"/>
      <c r="P216" s="36"/>
      <c r="Q216" s="36"/>
      <c r="R216" s="36"/>
      <c r="S216" s="36"/>
      <c r="T216" s="36"/>
      <c r="U216" s="36"/>
      <c r="V216" s="36"/>
      <c r="W216" s="36"/>
    </row>
  </sheetData>
  <phoneticPr fontId="7" type="noConversion"/>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1705-37A5-4F14-A8DA-BDAF82EE30AB}">
  <dimension ref="A1:L40"/>
  <sheetViews>
    <sheetView workbookViewId="0">
      <selection activeCell="B17" sqref="B17"/>
    </sheetView>
  </sheetViews>
  <sheetFormatPr defaultRowHeight="15" x14ac:dyDescent="0.25"/>
  <cols>
    <col min="1" max="1" width="51.140625" customWidth="1"/>
    <col min="2" max="2" width="19.28515625" customWidth="1"/>
    <col min="3" max="3" width="14.5703125" customWidth="1"/>
    <col min="4" max="4" width="11.85546875" customWidth="1"/>
    <col min="5" max="5" width="13.140625" customWidth="1"/>
    <col min="6" max="6" width="10.28515625" customWidth="1"/>
    <col min="7" max="7" width="19.85546875" customWidth="1"/>
    <col min="8" max="8" width="18.28515625" customWidth="1"/>
    <col min="9" max="9" width="13.7109375" customWidth="1"/>
    <col min="10" max="10" width="21.140625" customWidth="1"/>
    <col min="12" max="12" width="12.140625" customWidth="1"/>
  </cols>
  <sheetData>
    <row r="1" spans="1:12" s="16" customFormat="1" ht="45" x14ac:dyDescent="0.25">
      <c r="A1" s="22" t="s">
        <v>168</v>
      </c>
      <c r="B1" s="22" t="s">
        <v>169</v>
      </c>
      <c r="G1" s="24" t="s">
        <v>254</v>
      </c>
      <c r="H1" s="24" t="s">
        <v>253</v>
      </c>
      <c r="I1" s="24" t="s">
        <v>258</v>
      </c>
      <c r="J1" s="24" t="s">
        <v>259</v>
      </c>
    </row>
    <row r="2" spans="1:12" x14ac:dyDescent="0.25">
      <c r="A2" t="s">
        <v>277</v>
      </c>
      <c r="B2" s="5">
        <v>400</v>
      </c>
      <c r="F2" t="s">
        <v>261</v>
      </c>
      <c r="G2" s="1">
        <f>INDEX(contexts!A2:M99,(MATCH(B8,contexts!A2:A99,0)),4)</f>
        <v>0.48</v>
      </c>
      <c r="H2" s="1"/>
      <c r="I2" s="1">
        <f>IF(ISBLANK(H2),G2,H2)</f>
        <v>0.48</v>
      </c>
      <c r="J2" s="27">
        <f>IF(ISBLANK(H2),G2*$B$3*$B$2*(1-$B$12),H2*$B$3*$B$2*(1-$B$12))</f>
        <v>253.44</v>
      </c>
    </row>
    <row r="3" spans="1:12" x14ac:dyDescent="0.25">
      <c r="A3" t="s">
        <v>276</v>
      </c>
      <c r="B3" s="6">
        <v>1.5</v>
      </c>
      <c r="F3" s="4" t="s">
        <v>262</v>
      </c>
      <c r="G3" s="1">
        <f>INDEX(contexts!A2:M99,(MATCH(B8,contexts!A2:A99,0)),5)</f>
        <v>0.54</v>
      </c>
      <c r="H3" s="1"/>
      <c r="I3" s="1">
        <f t="shared" ref="I3:I4" si="0">IF(ISBLANK(H3),G3,H3)</f>
        <v>0.54</v>
      </c>
      <c r="J3" s="27">
        <f>IF(ISBLANK(H3),G3*$B$3*$B$2*(1-$B$12),H3*$B$3*$B$2*(1-$B$12))</f>
        <v>285.12</v>
      </c>
      <c r="L3" s="3"/>
    </row>
    <row r="4" spans="1:12" x14ac:dyDescent="0.25">
      <c r="A4" t="s">
        <v>282</v>
      </c>
      <c r="B4" s="5">
        <v>8</v>
      </c>
      <c r="F4" s="4" t="s">
        <v>263</v>
      </c>
      <c r="G4" s="1">
        <f>INDEX(contexts!A2:M99,(MATCH(B8,contexts!A2:A99,0)),6)</f>
        <v>0.76</v>
      </c>
      <c r="H4" s="1"/>
      <c r="I4" s="1">
        <f t="shared" si="0"/>
        <v>0.76</v>
      </c>
      <c r="J4" s="27">
        <f>IF(ISBLANK(H4),G4*$B$3*$B$2*(1-$B$12),H4*$B$3*$B$2*(1-$B$12))</f>
        <v>401.28000000000003</v>
      </c>
      <c r="L4" s="3"/>
    </row>
    <row r="5" spans="1:12" x14ac:dyDescent="0.25">
      <c r="A5" t="s">
        <v>283</v>
      </c>
      <c r="B5" s="5">
        <v>0</v>
      </c>
      <c r="F5" s="4" t="s">
        <v>264</v>
      </c>
      <c r="G5" s="1">
        <f>INDEX(contexts!A2:M99,(MATCH(B8,contexts!A2:A99,0)),7)</f>
        <v>0.74</v>
      </c>
      <c r="H5" s="1"/>
      <c r="I5" s="1">
        <f>IF(ISBLANK(H5),G5,H5)</f>
        <v>0.74</v>
      </c>
      <c r="J5" s="27">
        <f>IF(ISBLANK(H5),G5*$B$3*$B$2*(1-$B$12),H5*$B$3*$B$2*(1-$B$12))</f>
        <v>390.71999999999997</v>
      </c>
      <c r="L5" s="3"/>
    </row>
    <row r="6" spans="1:12" x14ac:dyDescent="0.25">
      <c r="A6" t="s">
        <v>284</v>
      </c>
      <c r="B6" s="5">
        <v>0</v>
      </c>
      <c r="F6" s="4" t="s">
        <v>265</v>
      </c>
      <c r="G6" s="1">
        <f>INDEX(contexts!A2:M99,(MATCH(B8,contexts!A2:A99,0)),8)</f>
        <v>0.61</v>
      </c>
      <c r="H6" s="1"/>
      <c r="I6" s="1">
        <f>IF(ISBLANK(H6),G6,H6)</f>
        <v>0.61</v>
      </c>
      <c r="J6" s="27">
        <f>IF(ISBLANK(H6),G6*$B$3*$B$2*(1-$B$12),H6*$B$3*$B$2*(1-$B$12))</f>
        <v>322.08</v>
      </c>
      <c r="L6" s="3"/>
    </row>
    <row r="7" spans="1:12" x14ac:dyDescent="0.25">
      <c r="A7" t="s">
        <v>0</v>
      </c>
      <c r="B7" s="5">
        <v>7</v>
      </c>
      <c r="F7" s="4" t="s">
        <v>266</v>
      </c>
      <c r="G7" s="1">
        <f>INDEX(contexts!A2:M99,(MATCH(B8,contexts!A2:A99,0)),9)</f>
        <v>0.57999999999999996</v>
      </c>
      <c r="H7" s="1"/>
      <c r="I7" s="1">
        <f>IF(ISBLANK(H7),G7,H7)</f>
        <v>0.57999999999999996</v>
      </c>
      <c r="J7" s="27">
        <f>IF(ISBLANK(H7),G7*$B$3*$B$2*(1-$B$12),H7*$B$3*$B$2*(1-$B$12))</f>
        <v>306.23999999999995</v>
      </c>
      <c r="L7" s="3"/>
    </row>
    <row r="8" spans="1:12" x14ac:dyDescent="0.25">
      <c r="A8" t="s">
        <v>4</v>
      </c>
      <c r="B8" s="5" t="s">
        <v>255</v>
      </c>
      <c r="F8" s="4" t="s">
        <v>267</v>
      </c>
      <c r="G8" s="1">
        <f>INDEX(contexts!A2:M99,(MATCH(B8,contexts!A2:A99,0)),10)</f>
        <v>0.69</v>
      </c>
      <c r="H8" s="1"/>
      <c r="I8" s="1">
        <f>IF(ISBLANK(H8),G8,H8)</f>
        <v>0.69</v>
      </c>
      <c r="J8" s="27">
        <f>IF(ISBLANK(H8),G8*$B$3*$B$2*(1-$B$12),H8*$B$3*$B$2*(1-$B$12))</f>
        <v>364.31999999999994</v>
      </c>
      <c r="L8" s="3"/>
    </row>
    <row r="9" spans="1:12" x14ac:dyDescent="0.25">
      <c r="F9" s="4" t="s">
        <v>268</v>
      </c>
      <c r="G9" s="1">
        <f>INDEX(contexts!A2:M99,(MATCH(B8,contexts!A2:A99,0)),11)</f>
        <v>0.85</v>
      </c>
      <c r="H9" s="1"/>
      <c r="I9" s="1">
        <f>IF(ISBLANK(H9),G9,H9)</f>
        <v>0.85</v>
      </c>
      <c r="J9" s="27">
        <f>IF(ISBLANK(H9),G9*$B$3*$B$2*(1-$B$12),H9*$B$3*$B$2*(1-$B$12))</f>
        <v>448.79999999999995</v>
      </c>
      <c r="L9" s="3"/>
    </row>
    <row r="10" spans="1:12" x14ac:dyDescent="0.25">
      <c r="A10" t="s">
        <v>5</v>
      </c>
      <c r="B10" s="1">
        <f>INDEX(contexts!A2:M99,(MATCH(B8,contexts!A2:A9,0)),2)</f>
        <v>0.92</v>
      </c>
      <c r="F10" s="4" t="s">
        <v>269</v>
      </c>
      <c r="G10" s="1">
        <f>INDEX(contexts!A2:M99,(MATCH(B8,contexts!A2:A99,0)),12)</f>
        <v>0.92</v>
      </c>
      <c r="H10" s="1"/>
      <c r="I10" s="1">
        <f>IF(ISBLANK(H10),G10,H10)</f>
        <v>0.92</v>
      </c>
      <c r="J10" s="27">
        <f>IF(ISBLANK(H10),G10*$B$3*$B$2*(1-$B$12),H10*$B$3*$B$2*(1-$B$12))</f>
        <v>485.76</v>
      </c>
      <c r="L10" s="3"/>
    </row>
    <row r="11" spans="1:12" x14ac:dyDescent="0.25">
      <c r="A11" t="s">
        <v>6</v>
      </c>
      <c r="B11" s="1">
        <f>INDEX(contexts!A2:M99,(MATCH(B8,contexts!A2:A9,0)),3)</f>
        <v>0.70199999999999996</v>
      </c>
      <c r="F11" s="4" t="s">
        <v>270</v>
      </c>
      <c r="G11" s="1">
        <f>INDEX(contexts!A2:M99,(MATCH(B8,contexts!A2:A99,0)),13)</f>
        <v>0.85</v>
      </c>
      <c r="H11" s="1"/>
      <c r="I11" s="1">
        <f>IF(ISBLANK(H11),G11,H11)</f>
        <v>0.85</v>
      </c>
      <c r="J11" s="27">
        <f>IF(ISBLANK(H11),G11*$B$3*$B$2*(1-$B$12),H11*$B$3*$B$2*(1-$B$12))</f>
        <v>448.79999999999995</v>
      </c>
      <c r="L11" s="3"/>
    </row>
    <row r="12" spans="1:12" x14ac:dyDescent="0.25">
      <c r="A12" t="s">
        <v>260</v>
      </c>
      <c r="B12" s="7">
        <v>0.12</v>
      </c>
      <c r="L12" s="3"/>
    </row>
    <row r="13" spans="1:12" x14ac:dyDescent="0.25">
      <c r="B13" s="2"/>
      <c r="L13" s="3"/>
    </row>
    <row r="14" spans="1:12" x14ac:dyDescent="0.25">
      <c r="A14" t="s">
        <v>285</v>
      </c>
      <c r="B14" s="26">
        <f ca="1">IF(B4 &lt;= 10, SUM(OFFSET(J6, -INT((B4-1)/2), 0, B4, 1)), SUM(J2:J11) + (B4 - 10) * AVERAGE(J2, J11))</f>
        <v>3004.3200000000006</v>
      </c>
      <c r="C14" s="2"/>
      <c r="F14" s="4"/>
      <c r="G14" s="1"/>
      <c r="H14" s="4"/>
      <c r="I14" s="4"/>
      <c r="J14" s="28"/>
      <c r="L14" s="3"/>
    </row>
    <row r="15" spans="1:12" x14ac:dyDescent="0.25">
      <c r="A15" t="s">
        <v>286</v>
      </c>
      <c r="B15" s="26">
        <f>(B5*B11*B3*B2)</f>
        <v>0</v>
      </c>
      <c r="C15" s="2"/>
      <c r="F15" s="4"/>
      <c r="G15" s="1"/>
      <c r="H15" s="4"/>
      <c r="I15" s="4"/>
      <c r="J15" s="28"/>
      <c r="L15" s="3"/>
    </row>
    <row r="16" spans="1:12" x14ac:dyDescent="0.25">
      <c r="A16" t="s">
        <v>287</v>
      </c>
      <c r="B16" s="26">
        <f>(B6*B11*B3*B2)</f>
        <v>0</v>
      </c>
      <c r="C16" s="2"/>
      <c r="F16" s="4"/>
      <c r="G16" s="1"/>
      <c r="H16" s="4"/>
      <c r="I16" s="4"/>
      <c r="J16" s="28"/>
      <c r="L16" s="3"/>
    </row>
    <row r="17" spans="1:12" x14ac:dyDescent="0.25">
      <c r="A17" t="s">
        <v>7</v>
      </c>
      <c r="B17" s="26">
        <f ca="1">B14*5*52+(B15*52)+(B16*52)</f>
        <v>781123.20000000007</v>
      </c>
      <c r="C17" s="3"/>
      <c r="F17" s="4"/>
      <c r="G17" s="1"/>
      <c r="H17" s="4"/>
      <c r="I17" s="4"/>
      <c r="L17" s="3"/>
    </row>
    <row r="18" spans="1:12" x14ac:dyDescent="0.25">
      <c r="C18" s="3"/>
      <c r="F18" s="33"/>
      <c r="G18" s="33"/>
      <c r="H18" s="4"/>
      <c r="I18" s="4"/>
      <c r="L18" s="3"/>
    </row>
    <row r="19" spans="1:12" x14ac:dyDescent="0.25">
      <c r="A19" t="s">
        <v>170</v>
      </c>
      <c r="B19" s="5">
        <v>60</v>
      </c>
      <c r="F19" s="4"/>
      <c r="G19" s="1"/>
      <c r="H19" s="4"/>
      <c r="I19" s="4"/>
      <c r="L19" s="3"/>
    </row>
    <row r="20" spans="1:12" x14ac:dyDescent="0.25">
      <c r="A20" t="s">
        <v>271</v>
      </c>
      <c r="B20">
        <v>1000</v>
      </c>
      <c r="F20" s="1"/>
      <c r="G20" s="1"/>
      <c r="H20" s="4"/>
      <c r="I20" s="4"/>
      <c r="L20" s="3"/>
    </row>
    <row r="21" spans="1:12" x14ac:dyDescent="0.25">
      <c r="A21" t="s">
        <v>272</v>
      </c>
      <c r="B21">
        <f>ROUNDUP(B2/B20,0)</f>
        <v>1</v>
      </c>
      <c r="F21" s="1"/>
      <c r="G21" s="1"/>
      <c r="H21" s="4"/>
      <c r="I21" s="4"/>
      <c r="L21" s="3"/>
    </row>
    <row r="22" spans="1:12" x14ac:dyDescent="0.25">
      <c r="A22" t="s">
        <v>171</v>
      </c>
      <c r="B22">
        <f>ROUNDUP(B2/B19,0)</f>
        <v>7</v>
      </c>
      <c r="F22" s="1"/>
      <c r="G22" s="1"/>
      <c r="H22" s="4"/>
      <c r="I22" s="4"/>
      <c r="L22" s="3"/>
    </row>
    <row r="23" spans="1:12" x14ac:dyDescent="0.25">
      <c r="A23" t="s">
        <v>273</v>
      </c>
      <c r="B23" s="25">
        <f>B22*7500</f>
        <v>52500</v>
      </c>
      <c r="F23" s="1"/>
      <c r="G23" s="1"/>
      <c r="H23" s="4"/>
      <c r="I23" s="4"/>
      <c r="L23" s="3"/>
    </row>
    <row r="24" spans="1:12" x14ac:dyDescent="0.25">
      <c r="A24" t="s">
        <v>274</v>
      </c>
      <c r="B24" s="25">
        <f>70000*B21</f>
        <v>70000</v>
      </c>
      <c r="F24" s="1"/>
      <c r="G24" s="1"/>
      <c r="H24" s="4"/>
      <c r="I24" s="4"/>
      <c r="L24" s="3"/>
    </row>
    <row r="25" spans="1:12" x14ac:dyDescent="0.25">
      <c r="B25" s="25"/>
      <c r="F25" s="1"/>
      <c r="G25" s="1"/>
      <c r="H25" s="4"/>
      <c r="I25" s="4"/>
      <c r="L25" s="3"/>
    </row>
    <row r="26" spans="1:12" x14ac:dyDescent="0.25">
      <c r="A26" t="s">
        <v>185</v>
      </c>
      <c r="B26" s="25">
        <f>1000*B22</f>
        <v>7000</v>
      </c>
      <c r="F26" s="1"/>
      <c r="G26" s="1"/>
      <c r="H26" s="4"/>
      <c r="I26" s="4"/>
      <c r="L26" s="3"/>
    </row>
    <row r="27" spans="1:12" x14ac:dyDescent="0.25">
      <c r="A27" t="s">
        <v>186</v>
      </c>
      <c r="B27" s="26">
        <f>1000+B2</f>
        <v>1400</v>
      </c>
      <c r="F27" s="1"/>
      <c r="G27" s="1"/>
      <c r="H27" s="4"/>
      <c r="I27" s="4"/>
      <c r="L27" s="3"/>
    </row>
    <row r="28" spans="1:12" x14ac:dyDescent="0.25">
      <c r="A28" t="s">
        <v>275</v>
      </c>
      <c r="B28" s="26">
        <f>15*B2</f>
        <v>6000</v>
      </c>
      <c r="F28" s="1"/>
      <c r="G28" s="1"/>
      <c r="H28" s="4"/>
      <c r="I28" s="4"/>
      <c r="L28" s="3"/>
    </row>
    <row r="29" spans="1:12" x14ac:dyDescent="0.25">
      <c r="B29" s="26"/>
      <c r="F29" s="1"/>
      <c r="G29" s="1"/>
      <c r="H29" s="4"/>
      <c r="I29" s="4"/>
      <c r="L29" s="3"/>
    </row>
    <row r="30" spans="1:12" x14ac:dyDescent="0.25">
      <c r="A30" t="s">
        <v>8</v>
      </c>
      <c r="B30" s="26">
        <f>SUM(B23:B28)</f>
        <v>136900</v>
      </c>
      <c r="F30" s="1"/>
      <c r="G30" s="1"/>
      <c r="H30" s="4"/>
      <c r="I30" s="4"/>
      <c r="L30" s="3"/>
    </row>
    <row r="31" spans="1:12" x14ac:dyDescent="0.25">
      <c r="A31" t="s">
        <v>9</v>
      </c>
      <c r="B31" s="26">
        <f>SUM(B26:B28)</f>
        <v>14400</v>
      </c>
      <c r="F31" s="1"/>
      <c r="G31" s="1"/>
      <c r="H31" s="4"/>
      <c r="I31" s="4"/>
      <c r="L31" s="3"/>
    </row>
    <row r="32" spans="1:12" x14ac:dyDescent="0.25">
      <c r="B32" s="26"/>
      <c r="F32" s="1"/>
      <c r="G32" s="1"/>
      <c r="H32" s="4"/>
      <c r="I32" s="4"/>
    </row>
    <row r="33" spans="1:9" x14ac:dyDescent="0.25">
      <c r="A33" t="s">
        <v>188</v>
      </c>
      <c r="B33" s="26">
        <f ca="1">B17-B30</f>
        <v>644223.20000000007</v>
      </c>
      <c r="F33" s="1"/>
      <c r="G33" s="1"/>
      <c r="H33" s="4"/>
      <c r="I33" s="4"/>
    </row>
    <row r="34" spans="1:9" x14ac:dyDescent="0.25">
      <c r="A34" t="s">
        <v>187</v>
      </c>
      <c r="B34" s="26">
        <f ca="1">B17-B31</f>
        <v>766723.20000000007</v>
      </c>
      <c r="F34" s="1"/>
      <c r="G34" s="1"/>
      <c r="H34" s="4"/>
      <c r="I34" s="4"/>
    </row>
    <row r="35" spans="1:9" x14ac:dyDescent="0.25">
      <c r="A35" t="s">
        <v>189</v>
      </c>
      <c r="B35" s="26">
        <f ca="1">(B33+B34*4)/5</f>
        <v>742223.20000000007</v>
      </c>
      <c r="F35" s="1"/>
      <c r="G35" s="1"/>
      <c r="H35" s="4"/>
      <c r="I35" s="4"/>
    </row>
    <row r="36" spans="1:9" x14ac:dyDescent="0.25">
      <c r="B36" s="26"/>
    </row>
    <row r="37" spans="1:9" x14ac:dyDescent="0.25">
      <c r="A37" t="s">
        <v>10</v>
      </c>
      <c r="B37" s="26">
        <f>B30/B2</f>
        <v>342.25</v>
      </c>
    </row>
    <row r="38" spans="1:9" x14ac:dyDescent="0.25">
      <c r="A38" t="s">
        <v>190</v>
      </c>
      <c r="B38" s="26">
        <f>(B30+4*B31)/B2/5</f>
        <v>97.25</v>
      </c>
    </row>
    <row r="39" spans="1:9" x14ac:dyDescent="0.25">
      <c r="A39" t="s">
        <v>191</v>
      </c>
      <c r="B39" s="26">
        <f ca="1">B17/B2</f>
        <v>1952.8080000000002</v>
      </c>
    </row>
    <row r="40" spans="1:9" x14ac:dyDescent="0.25">
      <c r="A40" t="s">
        <v>192</v>
      </c>
      <c r="B40" s="26">
        <f ca="1">B35/B2</f>
        <v>1855.5580000000002</v>
      </c>
    </row>
  </sheetData>
  <mergeCells count="1">
    <mergeCell ref="F18:G18"/>
  </mergeCells>
  <dataValidations xWindow="678" yWindow="460" count="32">
    <dataValidation allowBlank="1" showInputMessage="1" showErrorMessage="1" promptTitle="Metered Stalls" prompt="Enter the number of stalls to be metered." sqref="B2" xr:uid="{C725C0C1-6AF0-4E56-9D5B-D18A93ED316B}"/>
    <dataValidation allowBlank="1" showInputMessage="1" showErrorMessage="1" promptTitle="Rate" prompt="Enter the proposed hourly meter rate." sqref="B3" xr:uid="{C75B52AD-3BF2-4727-80F9-5C8952722E11}"/>
    <dataValidation allowBlank="1" showInputMessage="1" showErrorMessage="1" promptTitle="Metered Sunday hours" prompt="Enter the number of hours (if any) that payment will be required on Saturdays." sqref="B6" xr:uid="{9760D1B6-477B-4542-99A2-215D41828A29}"/>
    <dataValidation allowBlank="1" showInputMessage="1" showErrorMessage="1" promptTitle="Metered days/week" prompt="Enter the number of days per week that payment will be required." sqref="B7" xr:uid="{94018995-3761-467A-BD87-545D7C0E5D61}"/>
    <dataValidation allowBlank="1" showInputMessage="1" showErrorMessage="1" promptTitle="Source peak occupancy" prompt="The peak occupancy percentage of the source context. This is calculated." sqref="B10" xr:uid="{1A9417CA-5270-4A3B-B8FA-F018AE4831CC}"/>
    <dataValidation allowBlank="1" showInputMessage="1" showErrorMessage="1" promptTitle="Source avg occupancy" prompt="The average occupancy percentage of the souce context during metered hours. This is calculated." sqref="B11" xr:uid="{51844AF1-3F5E-4668-9F31-99358AD72592}"/>
    <dataValidation allowBlank="1" showInputMessage="1" showErrorMessage="1" promptTitle="Assumed violation percentage" prompt="Enter an assumed percentage of vehicles that won't feed the meter. Typically this is somwhere around 10%, although enforcement has a significant influence." sqref="B12" xr:uid="{A5AAE366-583B-4CC9-AF00-76E300BEDB53}"/>
    <dataValidation allowBlank="1" showInputMessage="1" showErrorMessage="1" promptTitle="Projected avg occupancy" prompt="The projected average occupancy of metered stalls over all metered hours. This is calculated. " sqref="B13" xr:uid="{BBEC8209-8DD3-4BA9-B62F-C02CF712B126}"/>
    <dataValidation allowBlank="1" showInputMessage="1" showErrorMessage="1" promptTitle="Projected daily revenue" prompt="The projected revenue from all metered spaces for each day that payment is required. This is calculated." sqref="B14" xr:uid="{0CA23B60-31B1-4AD9-86FA-376947AAA251}"/>
    <dataValidation allowBlank="1" showInputMessage="1" showErrorMessage="1" promptTitle="Projected annual revenue" prompt="The projected gross annual revenue from the metered stalls. This is calculated." sqref="B17" xr:uid="{B1C53937-89E9-4240-A33F-73F6800CAB4B}"/>
    <dataValidation allowBlank="1" showInputMessage="1" showErrorMessage="1" promptTitle="Stalls/paystation" prompt="Enter the number of stalls per paystation. Historically cities would add one paystation per block face, or in larger areas, one for every 10 to 20 stalls. However, as apps and phone payment systems have grown, cities have used fewer." sqref="B19" xr:uid="{0A1EAF46-771D-4FCA-A9CB-03F8F7EDED89}"/>
    <dataValidation allowBlank="1" showInputMessage="1" showErrorMessage="1" promptTitle="Stalls/ALPR system" prompt="The number of stalls that each ALPR-equipped vehicle can enforce. This is assumed to be 1,000 based on industry-wide practices. This amount can be changed if cities have better or more current data." sqref="B20" xr:uid="{1C922A54-8BAA-4770-BF97-23EFD0EB59BE}"/>
    <dataValidation allowBlank="1" showInputMessage="1" showErrorMessage="1" promptTitle="ALPR-equipped vehicles needed" prompt="The number of ALPR-equipped vehicles needed to enforce the given metered area. This is calculated." sqref="B21" xr:uid="{B2AB6D6C-9B0A-4635-90A9-AD250FB3525F}"/>
    <dataValidation allowBlank="1" showInputMessage="1" showErrorMessage="1" promptTitle="Paystations needed" prompt="The number of paystations needed to implement metering given the parameters above. This is calculated." sqref="B22" xr:uid="{429D044A-7C0B-428F-B06D-055B8E462AF5}"/>
    <dataValidation allowBlank="1" showInputMessage="1" showErrorMessage="1" promptTitle="Upfront paystation cost" prompt="The initial cost of procuring and installing paystations needed for metering. This is calculated based on as assumed cost of $7,500/paystation." sqref="B23" xr:uid="{D7BD3F9A-B49C-4B72-924E-D10F64483C16}"/>
    <dataValidation allowBlank="1" showInputMessage="1" showErrorMessage="1" promptTitle="Upfront ALPR cost" prompt="The initial cost of ALPR systems needed for metering. This is calculated based on as assumed cost of $70,000 per ALPR-equipped vehicle. If a city doesn't plan to implement ALPR enforcement with metering, this can be zeroed out. " sqref="B24" xr:uid="{B0AC0AE0-D1D7-4B73-9F72-448F01A16DE7}"/>
    <dataValidation allowBlank="1" showInputMessage="1" showErrorMessage="1" promptTitle="Annual paystation cost" prompt="The annual cost of servicing and maintaining paystations. This is calculated based on an assumed cost of $1,000/paystation." sqref="B26" xr:uid="{1C2498E8-8ACC-4579-9E72-ECA42184D44B}"/>
    <dataValidation allowBlank="1" showInputMessage="1" showErrorMessage="1" promptTitle="Cloud payment" prompt="Assumed costs for allowing app and/or phone payments for metering. This is calculated based on an assumed fixed cost of $1,000 per year plus $1 per metered stall annually. " sqref="B27" xr:uid="{80497E46-90E8-4596-97E2-66A2D2FCD308}"/>
    <dataValidation allowBlank="1" showInputMessage="1" showErrorMessage="1" promptTitle="LPR tech &amp; back end" prompt="Assumed costs for LPR technology and back end systems for managing payment information. This is calculated based on an assumed annual cost of $15 per metered stall. " sqref="B28" xr:uid="{305C715D-1E67-4EEB-821F-30FD80FE374A}"/>
    <dataValidation allowBlank="1" showInputMessage="1" showErrorMessage="1" promptTitle="Implementation/year 1 cost" prompt="The total year #1 cost of implementing the metering system, including procurement and installation of all necessary hardware and technology. This is calculated." sqref="B30" xr:uid="{3A8DBC61-82F6-4829-972F-A7B775F52978}"/>
    <dataValidation allowBlank="1" showInputMessage="1" showErrorMessage="1" promptTitle="Year 2+ annual costs" prompt="The projected annual cost of servicing and maintaining the metering system and hardware. This is calculated." sqref="B31" xr:uid="{900272DF-F404-4D7B-9B48-9802EA6D8CBF}"/>
    <dataValidation allowBlank="1" showInputMessage="1" showErrorMessage="1" promptTitle="Year 1 net" prompt="Net annual revenue from the meter system for year #1. This is calculated." sqref="B33" xr:uid="{A63C92CA-5FDD-47B0-9047-1D14A23F3A2D}"/>
    <dataValidation allowBlank="1" showInputMessage="1" showErrorMessage="1" promptTitle="Year 2+ net" prompt="Projected net annual revenue of the meter system during subsequent years. This is calculated." sqref="B34" xr:uid="{475A5C13-6D33-43B6-972A-99537F44DB94}"/>
    <dataValidation allowBlank="1" showInputMessage="1" showErrorMessage="1" promptTitle="Net annual revenues" prompt="The projected net annual revenue of the metering system based upon a 5-year planning horizon. This is calculated." sqref="B35" xr:uid="{9E4695B3-71AF-4373-B3E7-1A89A490EF69}"/>
    <dataValidation allowBlank="1" showInputMessage="1" showErrorMessage="1" promptTitle="Per-stall implementation cost" prompt="Cost to implement the metering system on a per-stall basis. This is calculated." sqref="B37" xr:uid="{10C9B949-97F5-4813-A041-D3DD67B4DEB2}"/>
    <dataValidation allowBlank="1" showInputMessage="1" showErrorMessage="1" promptTitle="Per-stall implementation cost" prompt="Annual cost of each metered stall, based upon a 5-year planning horizon. This is calculated." sqref="B38" xr:uid="{570A6CAF-0931-4584-900E-4562F2DBD9BF}"/>
    <dataValidation allowBlank="1" showInputMessage="1" showErrorMessage="1" promptTitle="Annual per stall gross revenue" prompt="Annualized gross revenue per metered stall, based upon a 5-year planning horizon. This is calculated." sqref="B39" xr:uid="{D3BB7AE8-6893-4D83-8F09-5B6F66FEBCB5}"/>
    <dataValidation allowBlank="1" showInputMessage="1" showErrorMessage="1" promptTitle="Annual per stall net revenue" prompt="Annualized net revenue per metered stall, based upon a 5-year planning horizon. This is calculated." sqref="B40" xr:uid="{2A7A6749-EA0C-4A51-850A-3C0C55C37F1D}"/>
    <dataValidation allowBlank="1" showInputMessage="1" showErrorMessage="1" promptTitle="Metered Saturday hours" prompt="Enter the number of hours (if any) that payment will be required on Saturdays." sqref="B5" xr:uid="{FB9DB96E-4BB0-4861-8045-562AB11B28FD}"/>
    <dataValidation allowBlank="1" showInputMessage="1" showErrorMessage="1" promptTitle="Metered weekday hours" prompt="Enter the number of hours each weekday that payment will be required to park. See Chapter 5 of the Guide for considerations for setting metered hours." sqref="B4" xr:uid="{C178AEF6-B49A-4535-A621-CA606E3EEB5C}"/>
    <dataValidation allowBlank="1" showInputMessage="1" showErrorMessage="1" promptTitle="Projected Saturday revenue" prompt="The projected revenue from all metered spaces on Saturdays. This is calculated assuming the same demand as weekdays." sqref="B15" xr:uid="{4BB66E39-3B12-4E4B-8A68-454D3042DE9E}"/>
    <dataValidation allowBlank="1" showInputMessage="1" showErrorMessage="1" promptTitle="Projected Sunday revenue" prompt="The projected revenue from all metered spaces on Sundays. This is calculated assuming the same demand as weekdays." sqref="B16" xr:uid="{D9CC2729-0B1F-4E1F-BA8F-17308BDA2014}"/>
  </dataValidations>
  <pageMargins left="0.7" right="0.7" top="0.75" bottom="0.75" header="0.3" footer="0.3"/>
  <drawing r:id="rId1"/>
  <extLst>
    <ext xmlns:x14="http://schemas.microsoft.com/office/spreadsheetml/2009/9/main" uri="{CCE6A557-97BC-4b89-ADB6-D9C93CAAB3DF}">
      <x14:dataValidations xmlns:xm="http://schemas.microsoft.com/office/excel/2006/main" xWindow="678" yWindow="460" count="1">
        <x14:dataValidation type="list" allowBlank="1" showInputMessage="1" showErrorMessage="1" promptTitle="Similar context" prompt="Nearby land uses, the built environment, transit availability, and other charateristics can subtly effect how parking demand varies over the course of a day. Select the most similar context to the one in consideration." xr:uid="{AEF74629-BF4B-49DD-9649-A9EDBECF05ED}">
          <x14:formula1>
            <xm:f>contexts!$A$2:$A$9</xm:f>
          </x14:formula1>
          <xm:sqref>B8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F280B-291F-4936-9014-46410DD28CE5}">
  <dimension ref="A1:M9"/>
  <sheetViews>
    <sheetView workbookViewId="0">
      <selection activeCell="M10" sqref="M10"/>
    </sheetView>
  </sheetViews>
  <sheetFormatPr defaultRowHeight="15" x14ac:dyDescent="0.25"/>
  <cols>
    <col min="1" max="1" width="27" customWidth="1"/>
  </cols>
  <sheetData>
    <row r="1" spans="1:13" x14ac:dyDescent="0.25">
      <c r="B1" t="s">
        <v>239</v>
      </c>
      <c r="C1" t="s">
        <v>240</v>
      </c>
      <c r="D1" t="s">
        <v>241</v>
      </c>
      <c r="E1" t="s">
        <v>242</v>
      </c>
      <c r="F1" t="s">
        <v>243</v>
      </c>
      <c r="G1" t="s">
        <v>244</v>
      </c>
      <c r="H1" t="s">
        <v>245</v>
      </c>
      <c r="I1" t="s">
        <v>246</v>
      </c>
      <c r="J1" t="s">
        <v>247</v>
      </c>
      <c r="K1" t="s">
        <v>248</v>
      </c>
      <c r="L1" t="s">
        <v>249</v>
      </c>
      <c r="M1" t="s">
        <v>250</v>
      </c>
    </row>
    <row r="2" spans="1:13" x14ac:dyDescent="0.25">
      <c r="A2" t="s">
        <v>251</v>
      </c>
      <c r="B2" s="1">
        <f>MAX(D2:M2)</f>
        <v>0.86</v>
      </c>
      <c r="C2" s="1">
        <f>AVERAGE(D2:M2)</f>
        <v>0.79699999999999993</v>
      </c>
      <c r="D2" s="1">
        <v>0.8</v>
      </c>
      <c r="E2" s="1">
        <v>0.79</v>
      </c>
      <c r="F2" s="1">
        <v>0.83</v>
      </c>
      <c r="G2" s="1">
        <v>0.82</v>
      </c>
      <c r="H2" s="1">
        <v>0.8</v>
      </c>
      <c r="I2" s="1">
        <v>0.7</v>
      </c>
      <c r="J2" s="1">
        <v>0.76</v>
      </c>
      <c r="K2" s="1">
        <v>0.77</v>
      </c>
      <c r="L2" s="1">
        <v>0.84</v>
      </c>
      <c r="M2" s="1">
        <v>0.86</v>
      </c>
    </row>
    <row r="3" spans="1:13" x14ac:dyDescent="0.25">
      <c r="A3" t="s">
        <v>252</v>
      </c>
      <c r="B3" s="1">
        <f t="shared" ref="B3:B4" si="0">MAX(D3:M3)</f>
        <v>0.95</v>
      </c>
      <c r="C3" s="1">
        <f t="shared" ref="C3:C4" si="1">AVERAGE(D3:M3)</f>
        <v>0.874</v>
      </c>
      <c r="D3" s="1">
        <v>0.82</v>
      </c>
      <c r="E3" s="1">
        <v>0.95</v>
      </c>
      <c r="F3" s="1">
        <v>0.94</v>
      </c>
      <c r="G3" s="1">
        <v>0.85</v>
      </c>
      <c r="H3" s="1">
        <v>0.77</v>
      </c>
      <c r="I3" s="1">
        <v>0.84</v>
      </c>
      <c r="J3" s="1">
        <v>0.88</v>
      </c>
      <c r="K3" s="1">
        <v>0.87</v>
      </c>
      <c r="L3" s="1">
        <v>0.91</v>
      </c>
      <c r="M3" s="1">
        <v>0.91</v>
      </c>
    </row>
    <row r="4" spans="1:13" x14ac:dyDescent="0.25">
      <c r="A4" t="s">
        <v>1</v>
      </c>
      <c r="B4" s="1">
        <f t="shared" si="0"/>
        <v>0.92</v>
      </c>
      <c r="C4" s="1">
        <f t="shared" si="1"/>
        <v>0.73599999999999999</v>
      </c>
      <c r="D4" s="1">
        <v>0.45</v>
      </c>
      <c r="E4" s="1">
        <v>0.75</v>
      </c>
      <c r="F4" s="1">
        <v>0.79</v>
      </c>
      <c r="G4" s="1">
        <v>0.76</v>
      </c>
      <c r="H4" s="1">
        <v>0.72</v>
      </c>
      <c r="I4" s="1">
        <v>0.62</v>
      </c>
      <c r="J4" s="1">
        <v>0.67</v>
      </c>
      <c r="K4" s="1">
        <v>0.79</v>
      </c>
      <c r="L4" s="1">
        <v>0.92</v>
      </c>
      <c r="M4" s="1">
        <v>0.89</v>
      </c>
    </row>
    <row r="5" spans="1:13" x14ac:dyDescent="0.25">
      <c r="A5" t="s">
        <v>3</v>
      </c>
      <c r="B5" s="1">
        <f>MAX(D5:M5)</f>
        <v>0.85</v>
      </c>
      <c r="C5" s="1">
        <f>AVERAGE(D5:M5)</f>
        <v>0.8</v>
      </c>
      <c r="D5" s="1">
        <v>0.81</v>
      </c>
      <c r="E5" s="1">
        <v>0.83</v>
      </c>
      <c r="F5" s="1">
        <v>0.85</v>
      </c>
      <c r="G5" s="1">
        <v>0.84</v>
      </c>
      <c r="H5" s="1">
        <v>0.8</v>
      </c>
      <c r="I5" s="1">
        <v>0.78</v>
      </c>
      <c r="J5" s="1">
        <v>0.76</v>
      </c>
      <c r="K5" s="1">
        <v>0.76</v>
      </c>
      <c r="L5" s="1">
        <v>0.78</v>
      </c>
      <c r="M5" s="1">
        <v>0.79</v>
      </c>
    </row>
    <row r="6" spans="1:13" x14ac:dyDescent="0.25">
      <c r="A6" t="s">
        <v>2</v>
      </c>
      <c r="B6" s="1">
        <f>MAX(D6:M6)</f>
        <v>0.87</v>
      </c>
      <c r="C6" s="1">
        <f>AVERAGE(D6:M6)</f>
        <v>0.71299999999999986</v>
      </c>
      <c r="D6" s="1">
        <v>0.49</v>
      </c>
      <c r="E6" s="1">
        <v>0.65</v>
      </c>
      <c r="F6" s="1">
        <v>0.8</v>
      </c>
      <c r="G6" s="1">
        <v>0.87</v>
      </c>
      <c r="H6" s="1">
        <v>0.86</v>
      </c>
      <c r="I6" s="1">
        <v>0.84</v>
      </c>
      <c r="J6" s="1">
        <v>0.77</v>
      </c>
      <c r="K6" s="1">
        <v>0.69</v>
      </c>
      <c r="L6" s="1">
        <v>0.61</v>
      </c>
      <c r="M6" s="1">
        <v>0.55000000000000004</v>
      </c>
    </row>
    <row r="7" spans="1:13" x14ac:dyDescent="0.25">
      <c r="A7" t="s">
        <v>255</v>
      </c>
      <c r="B7" s="1">
        <f>MAX(D7:M7)</f>
        <v>0.92</v>
      </c>
      <c r="C7" s="1">
        <f>AVERAGE(D7:M7)</f>
        <v>0.70199999999999996</v>
      </c>
      <c r="D7" s="1">
        <v>0.48</v>
      </c>
      <c r="E7" s="1">
        <v>0.54</v>
      </c>
      <c r="F7" s="1">
        <v>0.76</v>
      </c>
      <c r="G7" s="1">
        <v>0.74</v>
      </c>
      <c r="H7" s="1">
        <v>0.61</v>
      </c>
      <c r="I7" s="1">
        <v>0.57999999999999996</v>
      </c>
      <c r="J7" s="1">
        <v>0.69</v>
      </c>
      <c r="K7" s="1">
        <v>0.85</v>
      </c>
      <c r="L7" s="1">
        <v>0.92</v>
      </c>
      <c r="M7" s="1">
        <v>0.85</v>
      </c>
    </row>
    <row r="8" spans="1:13" x14ac:dyDescent="0.25">
      <c r="A8" t="s">
        <v>256</v>
      </c>
      <c r="B8" s="1">
        <f>MAX(D8:M8)</f>
        <v>0.89</v>
      </c>
      <c r="C8" s="1">
        <f>AVERAGE(D8:M8)</f>
        <v>0.628</v>
      </c>
      <c r="D8" s="1">
        <v>0.43</v>
      </c>
      <c r="E8" s="1">
        <v>0.53</v>
      </c>
      <c r="F8" s="1">
        <v>0.55000000000000004</v>
      </c>
      <c r="G8" s="1">
        <v>0.72</v>
      </c>
      <c r="H8" s="1">
        <v>0.6</v>
      </c>
      <c r="I8" s="1">
        <v>0.53</v>
      </c>
      <c r="J8" s="1">
        <v>0.55000000000000004</v>
      </c>
      <c r="K8" s="1">
        <v>0.81</v>
      </c>
      <c r="L8" s="1">
        <v>0.89</v>
      </c>
      <c r="M8" s="1">
        <v>0.67</v>
      </c>
    </row>
    <row r="9" spans="1:13" x14ac:dyDescent="0.25">
      <c r="A9" t="s">
        <v>257</v>
      </c>
      <c r="B9" s="1">
        <f>MAX(D9:M9)</f>
        <v>0.75</v>
      </c>
      <c r="C9" s="1">
        <f>AVERAGE(D9:M9)</f>
        <v>0.67300000000000015</v>
      </c>
      <c r="D9" s="1">
        <v>0.61</v>
      </c>
      <c r="E9" s="1">
        <v>0.64</v>
      </c>
      <c r="F9" s="1">
        <v>0.7</v>
      </c>
      <c r="G9" s="1">
        <v>0.62</v>
      </c>
      <c r="H9" s="1">
        <v>0.72</v>
      </c>
      <c r="I9" s="1">
        <v>0.75</v>
      </c>
      <c r="J9" s="1">
        <v>0.69</v>
      </c>
      <c r="K9" s="1">
        <v>0.65</v>
      </c>
      <c r="L9" s="1">
        <v>0.7</v>
      </c>
      <c r="M9" s="1">
        <v>0.65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EEC0D7F0E25448BA1085DD427FEAC4" ma:contentTypeVersion="10" ma:contentTypeDescription="Create a new document." ma:contentTypeScope="" ma:versionID="a9271e9ee2246a831177eb415463b25d">
  <xsd:schema xmlns:xsd="http://www.w3.org/2001/XMLSchema" xmlns:xs="http://www.w3.org/2001/XMLSchema" xmlns:p="http://schemas.microsoft.com/office/2006/metadata/properties" xmlns:ns1="http://schemas.microsoft.com/sharepoint/v3" xmlns:ns2="11f6e35f-0468-40ad-8c48-bd091c853554" xmlns:ns3="64904ab5-ca88-4856-803b-65041cc1f629" targetNamespace="http://schemas.microsoft.com/office/2006/metadata/properties" ma:root="true" ma:fieldsID="ebd14b0265b071829576ddb51c331d3f" ns1:_="" ns2:_="" ns3:_="">
    <xsd:import namespace="http://schemas.microsoft.com/sharepoint/v3"/>
    <xsd:import namespace="11f6e35f-0468-40ad-8c48-bd091c853554"/>
    <xsd:import namespace="64904ab5-ca88-4856-803b-65041cc1f629"/>
    <xsd:element name="properties">
      <xsd:complexType>
        <xsd:sequence>
          <xsd:element name="documentManagement">
            <xsd:complexType>
              <xsd:all>
                <xsd:element ref="ns1:PublishingStartDate" minOccurs="0"/>
                <xsd:element ref="ns1:PublishingExpirationDate" minOccurs="0"/>
                <xsd:element ref="ns2:SharedWithUsers" minOccurs="0"/>
                <xsd:element ref="ns3:Keep_x0020_File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f6e35f-0468-40ad-8c48-bd091c853554"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4904ab5-ca88-4856-803b-65041cc1f629" elementFormDefault="qualified">
    <xsd:import namespace="http://schemas.microsoft.com/office/2006/documentManagement/types"/>
    <xsd:import namespace="http://schemas.microsoft.com/office/infopath/2007/PartnerControls"/>
    <xsd:element name="Keep_x0020_File_x003f_" ma:index="7" nillable="true" ma:displayName="Keep File?" ma:internalName="Keep_x0020_File_x003f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Keep_x0020_File_x003f_ xmlns="64904ab5-ca88-4856-803b-65041cc1f629" xsi:nil="true"/>
  </documentManagement>
</p:properties>
</file>

<file path=customXml/itemProps1.xml><?xml version="1.0" encoding="utf-8"?>
<ds:datastoreItem xmlns:ds="http://schemas.openxmlformats.org/officeDocument/2006/customXml" ds:itemID="{795C78AA-1CDF-40F9-85A7-F3DA8E1AF81E}"/>
</file>

<file path=customXml/itemProps2.xml><?xml version="1.0" encoding="utf-8"?>
<ds:datastoreItem xmlns:ds="http://schemas.openxmlformats.org/officeDocument/2006/customXml" ds:itemID="{77F03FD4-EFB9-4F3E-A6BD-419A6E5E645B}"/>
</file>

<file path=customXml/itemProps3.xml><?xml version="1.0" encoding="utf-8"?>
<ds:datastoreItem xmlns:ds="http://schemas.openxmlformats.org/officeDocument/2006/customXml" ds:itemID="{855298F5-AA79-4F1B-929F-AC719A66BD1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Occupancy</vt:lpstr>
      <vt:lpstr>Turnover</vt:lpstr>
      <vt:lpstr>TurnoverGIS</vt:lpstr>
      <vt:lpstr>Meter Worksheet</vt:lpstr>
      <vt:lpstr>contexts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Davis</dc:creator>
  <cp:lastModifiedBy>Brian Davis</cp:lastModifiedBy>
  <dcterms:created xsi:type="dcterms:W3CDTF">2024-09-30T17:09:03Z</dcterms:created>
  <dcterms:modified xsi:type="dcterms:W3CDTF">2024-11-13T20:27:06Z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2024-11-05T18:39:16Z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e3c0ac46-4335-4113-ac46-0d64045ae74b</vt:lpwstr>
  </property>
  <property fmtid="{D5CDD505-2E9C-101B-9397-08002B2CF9AE}" pid="8" name="MSIP_Label_db79d039-fcd0-4045-9c78-4cfb2eba0904_ContentBits">
    <vt:lpwstr>0</vt:lpwstr>
  </property>
  <property fmtid="{D5CDD505-2E9C-101B-9397-08002B2CF9AE}" pid="9" name="ContentTypeId">
    <vt:lpwstr>0x01010029EEC0D7F0E25448BA1085DD427FEAC4</vt:lpwstr>
  </property>
</Properties>
</file>