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codeName="ThisWorkbook"/>
  <mc:AlternateContent xmlns:mc="http://schemas.openxmlformats.org/markup-compatibility/2006">
    <mc:Choice Requires="x15">
      <x15ac:absPath xmlns:x15ac="http://schemas.microsoft.com/office/spreadsheetml/2010/11/ac" url="C:\Users\lgartland\Downloads\"/>
    </mc:Choice>
  </mc:AlternateContent>
  <xr:revisionPtr revIDLastSave="0" documentId="13_ncr:1_{EB28E69A-0927-4983-A6B6-40B6C8558478}" xr6:coauthVersionLast="47" xr6:coauthVersionMax="47" xr10:uidLastSave="{00000000-0000-0000-0000-000000000000}"/>
  <bookViews>
    <workbookView xWindow="-110" yWindow="-110" windowWidth="19420" windowHeight="11500" activeTab="1" xr2:uid="{8108D487-707E-4F2F-BF5B-25F61EAE88A6}"/>
  </bookViews>
  <sheets>
    <sheet name="Instructions &amp; Definitions" sheetId="9" r:id="rId1"/>
    <sheet name="EUIt Sheet" sheetId="8" r:id="rId2"/>
    <sheet name="Lookups" sheetId="3" state="hidden" r:id="rId3"/>
  </sheets>
  <definedNames>
    <definedName name="_xlnm._FilterDatabase" localSheetId="2" hidden="1">Lookups!$AE$2:$AF$38</definedName>
    <definedName name="_xlnm.Print_Area" localSheetId="2">Lookups!$B$1:$M$115</definedName>
    <definedName name="_xlnm.Print_Titles" localSheetId="2">Lookups!$1:$2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70" i="3" l="1"/>
  <c r="AK69" i="3"/>
  <c r="AK68" i="3"/>
  <c r="AK67" i="3"/>
  <c r="AK66" i="3"/>
  <c r="AK65" i="3"/>
  <c r="AK64" i="3"/>
  <c r="AK63" i="3"/>
  <c r="AK62" i="3"/>
  <c r="AK61" i="3"/>
  <c r="AK60" i="3"/>
  <c r="AK59" i="3"/>
  <c r="AK58" i="3"/>
  <c r="AK57" i="3"/>
  <c r="AK56" i="3"/>
  <c r="AK55" i="3"/>
  <c r="AK54" i="3"/>
  <c r="AK53" i="3"/>
  <c r="AK52" i="3"/>
  <c r="AK51" i="3"/>
  <c r="AK50" i="3"/>
  <c r="AK49" i="3"/>
  <c r="AK48" i="3"/>
  <c r="AK47" i="3"/>
  <c r="AK46" i="3"/>
  <c r="AK45" i="3"/>
  <c r="AK44" i="3"/>
  <c r="AK43" i="3"/>
  <c r="AK42" i="3"/>
  <c r="AK41" i="3"/>
  <c r="AK40" i="3"/>
  <c r="AK39" i="3"/>
  <c r="AK38" i="3"/>
  <c r="AK37" i="3"/>
  <c r="AK36" i="3"/>
  <c r="AK35" i="3"/>
  <c r="AK34" i="3"/>
  <c r="AK33" i="3"/>
  <c r="AK32" i="3"/>
  <c r="AK31" i="3"/>
  <c r="AK30" i="3"/>
  <c r="AK29" i="3"/>
  <c r="AK28" i="3"/>
  <c r="AK27" i="3"/>
  <c r="AK26" i="3"/>
  <c r="AK25" i="3"/>
  <c r="AK24" i="3"/>
  <c r="AK23" i="3"/>
  <c r="AK22" i="3"/>
  <c r="AK21" i="3"/>
  <c r="AK20" i="3"/>
  <c r="AK19" i="3"/>
  <c r="AK18" i="3"/>
  <c r="AK17" i="3"/>
  <c r="AK16" i="3"/>
  <c r="AK15" i="3"/>
  <c r="AK14" i="3"/>
  <c r="AK13" i="3"/>
  <c r="G3" i="8"/>
  <c r="E3" i="8" l="1"/>
  <c r="B8" i="8"/>
  <c r="B5" i="8"/>
  <c r="N70" i="8"/>
  <c r="N69" i="8"/>
  <c r="N68" i="8"/>
  <c r="N67" i="8"/>
  <c r="N66" i="8"/>
  <c r="N65" i="8"/>
  <c r="N64" i="8"/>
  <c r="N63" i="8"/>
  <c r="N62" i="8"/>
  <c r="N61" i="8"/>
  <c r="N60" i="8"/>
  <c r="N59" i="8"/>
  <c r="N58" i="8"/>
  <c r="N57" i="8"/>
  <c r="N56" i="8"/>
  <c r="N55" i="8"/>
  <c r="N54" i="8"/>
  <c r="N53" i="8"/>
  <c r="N52" i="8"/>
  <c r="N51" i="8"/>
  <c r="N50" i="8"/>
  <c r="N49" i="8"/>
  <c r="N48" i="8"/>
  <c r="N47" i="8"/>
  <c r="N46" i="8"/>
  <c r="N45" i="8"/>
  <c r="N44" i="8"/>
  <c r="N43" i="8"/>
  <c r="N42" i="8"/>
  <c r="N41" i="8"/>
  <c r="N40" i="8"/>
  <c r="N39" i="8"/>
  <c r="N38" i="8"/>
  <c r="N37" i="8"/>
  <c r="N36" i="8"/>
  <c r="N35" i="8"/>
  <c r="N34" i="8"/>
  <c r="N33" i="8"/>
  <c r="N32" i="8"/>
  <c r="N31" i="8"/>
  <c r="N30" i="8"/>
  <c r="N29" i="8"/>
  <c r="N28" i="8"/>
  <c r="N27" i="8"/>
  <c r="N26" i="8"/>
  <c r="N25" i="8"/>
  <c r="N24" i="8"/>
  <c r="N23" i="8"/>
  <c r="N22" i="8"/>
  <c r="N21" i="8"/>
  <c r="N20" i="8"/>
  <c r="N19" i="8"/>
  <c r="N18" i="8"/>
  <c r="N17" i="8"/>
  <c r="N16" i="8"/>
  <c r="N15" i="8"/>
  <c r="N14" i="8"/>
  <c r="N13" i="8"/>
  <c r="N12" i="8"/>
  <c r="K5" i="8" s="1"/>
  <c r="N11" i="8"/>
  <c r="K7" i="8" s="1"/>
  <c r="M7" i="8" s="1"/>
  <c r="N10" i="8"/>
  <c r="K6" i="8" s="1"/>
  <c r="G6" i="8" s="1"/>
  <c r="M5" i="8" l="1"/>
  <c r="L5" i="8"/>
  <c r="L7" i="8"/>
  <c r="H70" i="8"/>
  <c r="O70" i="8" s="1"/>
  <c r="H69" i="8"/>
  <c r="O69" i="8" s="1"/>
  <c r="H68" i="8"/>
  <c r="O68" i="8" s="1"/>
  <c r="H67" i="8"/>
  <c r="O67" i="8" s="1"/>
  <c r="H66" i="8"/>
  <c r="O66" i="8" s="1"/>
  <c r="H65" i="8"/>
  <c r="O65" i="8" s="1"/>
  <c r="H64" i="8"/>
  <c r="O64" i="8" s="1"/>
  <c r="H63" i="8"/>
  <c r="O63" i="8" s="1"/>
  <c r="H62" i="8"/>
  <c r="O62" i="8" s="1"/>
  <c r="H61" i="8"/>
  <c r="O61" i="8" s="1"/>
  <c r="H60" i="8"/>
  <c r="O60" i="8" s="1"/>
  <c r="H59" i="8"/>
  <c r="O59" i="8" s="1"/>
  <c r="H58" i="8"/>
  <c r="O58" i="8" s="1"/>
  <c r="H57" i="8"/>
  <c r="O57" i="8" s="1"/>
  <c r="H56" i="8"/>
  <c r="O56" i="8" s="1"/>
  <c r="H55" i="8"/>
  <c r="O55" i="8" s="1"/>
  <c r="H54" i="8"/>
  <c r="O54" i="8" s="1"/>
  <c r="H53" i="8"/>
  <c r="O53" i="8" s="1"/>
  <c r="H52" i="8"/>
  <c r="O52" i="8" s="1"/>
  <c r="H51" i="8"/>
  <c r="O51" i="8" s="1"/>
  <c r="H50" i="8"/>
  <c r="O50" i="8" s="1"/>
  <c r="H49" i="8"/>
  <c r="O49" i="8" s="1"/>
  <c r="H48" i="8"/>
  <c r="O48" i="8" s="1"/>
  <c r="H47" i="8"/>
  <c r="O47" i="8" s="1"/>
  <c r="H46" i="8"/>
  <c r="O46" i="8" s="1"/>
  <c r="H45" i="8"/>
  <c r="O45" i="8" s="1"/>
  <c r="H44" i="8"/>
  <c r="O44" i="8" s="1"/>
  <c r="H43" i="8"/>
  <c r="O43" i="8" s="1"/>
  <c r="H42" i="8"/>
  <c r="O42" i="8" s="1"/>
  <c r="H41" i="8"/>
  <c r="O41" i="8" s="1"/>
  <c r="H40" i="8"/>
  <c r="O40" i="8" s="1"/>
  <c r="H39" i="8"/>
  <c r="O39" i="8" s="1"/>
  <c r="H38" i="8"/>
  <c r="O38" i="8" s="1"/>
  <c r="H37" i="8"/>
  <c r="O37" i="8" s="1"/>
  <c r="H36" i="8"/>
  <c r="O36" i="8" s="1"/>
  <c r="H35" i="8"/>
  <c r="O35" i="8" s="1"/>
  <c r="H34" i="8"/>
  <c r="O34" i="8" s="1"/>
  <c r="H33" i="8"/>
  <c r="O33" i="8" s="1"/>
  <c r="H32" i="8"/>
  <c r="O32" i="8" s="1"/>
  <c r="H31" i="8"/>
  <c r="O31" i="8" s="1"/>
  <c r="H30" i="8"/>
  <c r="O30" i="8" s="1"/>
  <c r="H29" i="8"/>
  <c r="O29" i="8" s="1"/>
  <c r="H28" i="8"/>
  <c r="O28" i="8" s="1"/>
  <c r="H27" i="8"/>
  <c r="O27" i="8" s="1"/>
  <c r="H26" i="8"/>
  <c r="O26" i="8" s="1"/>
  <c r="H25" i="8"/>
  <c r="O25" i="8" s="1"/>
  <c r="H24" i="8"/>
  <c r="O24" i="8" s="1"/>
  <c r="H23" i="8"/>
  <c r="O23" i="8" s="1"/>
  <c r="H22" i="8"/>
  <c r="O22" i="8" s="1"/>
  <c r="H21" i="8"/>
  <c r="O21" i="8" s="1"/>
  <c r="H20" i="8"/>
  <c r="O20" i="8" s="1"/>
  <c r="H19" i="8"/>
  <c r="O19" i="8" s="1"/>
  <c r="H18" i="8"/>
  <c r="O18" i="8" s="1"/>
  <c r="H17" i="8"/>
  <c r="O17" i="8" s="1"/>
  <c r="H16" i="8"/>
  <c r="O16" i="8" s="1"/>
  <c r="H15" i="8"/>
  <c r="O15" i="8" s="1"/>
  <c r="H14" i="8"/>
  <c r="O14" i="8" s="1"/>
  <c r="H13" i="8"/>
  <c r="O13" i="8" s="1"/>
  <c r="H11" i="8"/>
  <c r="O11" i="8" s="1"/>
  <c r="H10" i="8"/>
  <c r="O10" i="8" s="1"/>
  <c r="H12" i="8"/>
  <c r="O12" i="8" s="1"/>
  <c r="AL70" i="3" l="1"/>
  <c r="AJ70" i="3" s="1"/>
  <c r="AI70" i="3"/>
  <c r="AL69" i="3"/>
  <c r="AJ69" i="3" s="1"/>
  <c r="AI69" i="3"/>
  <c r="AL68" i="3"/>
  <c r="AJ68" i="3" s="1"/>
  <c r="AI68" i="3"/>
  <c r="AL67" i="3"/>
  <c r="AJ67" i="3" s="1"/>
  <c r="AI67" i="3"/>
  <c r="AL66" i="3"/>
  <c r="AJ66" i="3" s="1"/>
  <c r="AI66" i="3"/>
  <c r="AL65" i="3"/>
  <c r="AJ65" i="3" s="1"/>
  <c r="AI65" i="3"/>
  <c r="AL64" i="3"/>
  <c r="AJ64" i="3" s="1"/>
  <c r="AI64" i="3"/>
  <c r="AL63" i="3"/>
  <c r="AJ63" i="3" s="1"/>
  <c r="AI63" i="3"/>
  <c r="AL62" i="3"/>
  <c r="AJ62" i="3" s="1"/>
  <c r="AI62" i="3"/>
  <c r="AL61" i="3"/>
  <c r="AJ61" i="3" s="1"/>
  <c r="AI61" i="3"/>
  <c r="AL60" i="3"/>
  <c r="AJ60" i="3" s="1"/>
  <c r="AI60" i="3"/>
  <c r="AL59" i="3"/>
  <c r="AJ59" i="3" s="1"/>
  <c r="AI59" i="3"/>
  <c r="AL58" i="3"/>
  <c r="AJ58" i="3" s="1"/>
  <c r="AI58" i="3"/>
  <c r="AL57" i="3"/>
  <c r="AJ57" i="3" s="1"/>
  <c r="AI57" i="3"/>
  <c r="AL56" i="3"/>
  <c r="AJ56" i="3" s="1"/>
  <c r="AI56" i="3"/>
  <c r="AL55" i="3"/>
  <c r="AJ55" i="3" s="1"/>
  <c r="AI55" i="3"/>
  <c r="AL54" i="3"/>
  <c r="AJ54" i="3" s="1"/>
  <c r="AI54" i="3"/>
  <c r="AL53" i="3"/>
  <c r="AJ53" i="3" s="1"/>
  <c r="AI53" i="3"/>
  <c r="AL52" i="3"/>
  <c r="AJ52" i="3" s="1"/>
  <c r="AI52" i="3"/>
  <c r="AL51" i="3"/>
  <c r="AJ51" i="3" s="1"/>
  <c r="AI51" i="3"/>
  <c r="M70" i="8"/>
  <c r="L70" i="8"/>
  <c r="K70" i="8"/>
  <c r="M69" i="8"/>
  <c r="L69" i="8"/>
  <c r="K69" i="8"/>
  <c r="M68" i="8"/>
  <c r="L68" i="8"/>
  <c r="K68" i="8"/>
  <c r="M67" i="8"/>
  <c r="L67" i="8"/>
  <c r="K67" i="8"/>
  <c r="M66" i="8"/>
  <c r="L66" i="8"/>
  <c r="K66" i="8"/>
  <c r="M65" i="8"/>
  <c r="L65" i="8"/>
  <c r="K65" i="8"/>
  <c r="M64" i="8"/>
  <c r="L64" i="8"/>
  <c r="K64" i="8"/>
  <c r="M63" i="8"/>
  <c r="L63" i="8"/>
  <c r="K63" i="8"/>
  <c r="M62" i="8"/>
  <c r="L62" i="8"/>
  <c r="K62" i="8"/>
  <c r="M61" i="8"/>
  <c r="L61" i="8"/>
  <c r="K61" i="8"/>
  <c r="M60" i="8"/>
  <c r="L60" i="8"/>
  <c r="K60" i="8"/>
  <c r="M59" i="8"/>
  <c r="L59" i="8"/>
  <c r="K59" i="8"/>
  <c r="M58" i="8"/>
  <c r="L58" i="8"/>
  <c r="K58" i="8"/>
  <c r="M57" i="8"/>
  <c r="L57" i="8"/>
  <c r="K57" i="8"/>
  <c r="M56" i="8"/>
  <c r="L56" i="8"/>
  <c r="K56" i="8"/>
  <c r="M55" i="8"/>
  <c r="L55" i="8"/>
  <c r="K55" i="8"/>
  <c r="M54" i="8"/>
  <c r="L54" i="8"/>
  <c r="K54" i="8"/>
  <c r="M53" i="8"/>
  <c r="L53" i="8"/>
  <c r="K53" i="8"/>
  <c r="M52" i="8"/>
  <c r="L52" i="8"/>
  <c r="K52" i="8"/>
  <c r="M51" i="8"/>
  <c r="L51" i="8"/>
  <c r="K51" i="8"/>
  <c r="A51" i="8"/>
  <c r="A52" i="8" s="1"/>
  <c r="A53" i="8" s="1"/>
  <c r="A54" i="8" s="1"/>
  <c r="A55" i="8" s="1"/>
  <c r="A56" i="8" s="1"/>
  <c r="A57" i="8" s="1"/>
  <c r="A58" i="8" s="1"/>
  <c r="A59" i="8" s="1"/>
  <c r="A60" i="8" s="1"/>
  <c r="A61" i="8" s="1"/>
  <c r="A62" i="8" s="1"/>
  <c r="A63" i="8" s="1"/>
  <c r="A64" i="8" s="1"/>
  <c r="A65" i="8" s="1"/>
  <c r="A66" i="8" s="1"/>
  <c r="A67" i="8" s="1"/>
  <c r="A68" i="8" s="1"/>
  <c r="A69" i="8" s="1"/>
  <c r="A70" i="8" s="1"/>
  <c r="M50" i="8"/>
  <c r="L50" i="8"/>
  <c r="K50" i="8"/>
  <c r="M49" i="8"/>
  <c r="L49" i="8"/>
  <c r="K49" i="8"/>
  <c r="M48" i="8"/>
  <c r="L48" i="8"/>
  <c r="K48" i="8"/>
  <c r="M47" i="8"/>
  <c r="L47" i="8"/>
  <c r="K47" i="8"/>
  <c r="M46" i="8"/>
  <c r="L46" i="8"/>
  <c r="K46" i="8"/>
  <c r="M45" i="8"/>
  <c r="L45" i="8"/>
  <c r="K45" i="8"/>
  <c r="M44" i="8"/>
  <c r="L44" i="8"/>
  <c r="K44" i="8"/>
  <c r="M43" i="8"/>
  <c r="L43" i="8"/>
  <c r="K43" i="8"/>
  <c r="M42" i="8"/>
  <c r="L42" i="8"/>
  <c r="K42" i="8"/>
  <c r="M41" i="8"/>
  <c r="L41" i="8"/>
  <c r="K41" i="8"/>
  <c r="M40" i="8"/>
  <c r="L40" i="8"/>
  <c r="K40" i="8"/>
  <c r="M39" i="8"/>
  <c r="L39" i="8"/>
  <c r="K39" i="8"/>
  <c r="M38" i="8"/>
  <c r="L38" i="8"/>
  <c r="K38" i="8"/>
  <c r="M37" i="8"/>
  <c r="L37" i="8"/>
  <c r="K37" i="8"/>
  <c r="M36" i="8"/>
  <c r="L36" i="8"/>
  <c r="K36" i="8"/>
  <c r="M35" i="8"/>
  <c r="L35" i="8"/>
  <c r="K35" i="8"/>
  <c r="M34" i="8"/>
  <c r="L34" i="8"/>
  <c r="K34" i="8"/>
  <c r="M33" i="8"/>
  <c r="L33" i="8"/>
  <c r="K33" i="8"/>
  <c r="M32" i="8"/>
  <c r="L32" i="8"/>
  <c r="K32" i="8"/>
  <c r="M31" i="8"/>
  <c r="L31" i="8"/>
  <c r="K31" i="8"/>
  <c r="M30" i="8"/>
  <c r="L30" i="8"/>
  <c r="K30" i="8"/>
  <c r="M29" i="8"/>
  <c r="L29" i="8"/>
  <c r="K29" i="8"/>
  <c r="AL50" i="3"/>
  <c r="AJ50" i="3" s="1"/>
  <c r="AI50" i="3"/>
  <c r="AL49" i="3"/>
  <c r="AJ49" i="3" s="1"/>
  <c r="AI49" i="3"/>
  <c r="AL48" i="3"/>
  <c r="AJ48" i="3" s="1"/>
  <c r="AI48" i="3"/>
  <c r="AL47" i="3"/>
  <c r="AJ47" i="3" s="1"/>
  <c r="AI47" i="3"/>
  <c r="AL46" i="3"/>
  <c r="AJ46" i="3" s="1"/>
  <c r="AI46" i="3"/>
  <c r="AL45" i="3"/>
  <c r="AJ45" i="3" s="1"/>
  <c r="AI45" i="3"/>
  <c r="AL44" i="3"/>
  <c r="AJ44" i="3" s="1"/>
  <c r="AI44" i="3"/>
  <c r="AL43" i="3"/>
  <c r="AJ43" i="3" s="1"/>
  <c r="AI43" i="3"/>
  <c r="AL42" i="3"/>
  <c r="AJ42" i="3" s="1"/>
  <c r="AI42" i="3"/>
  <c r="AL41" i="3"/>
  <c r="AJ41" i="3" s="1"/>
  <c r="AI41" i="3"/>
  <c r="AL40" i="3"/>
  <c r="AJ40" i="3" s="1"/>
  <c r="AI40" i="3"/>
  <c r="AL39" i="3"/>
  <c r="AJ39" i="3" s="1"/>
  <c r="AI39" i="3"/>
  <c r="AL38" i="3"/>
  <c r="AJ38" i="3" s="1"/>
  <c r="AI38" i="3"/>
  <c r="AL37" i="3"/>
  <c r="AJ37" i="3" s="1"/>
  <c r="AI37" i="3"/>
  <c r="AL36" i="3"/>
  <c r="AJ36" i="3" s="1"/>
  <c r="AI36" i="3"/>
  <c r="AL35" i="3"/>
  <c r="AJ35" i="3" s="1"/>
  <c r="AI35" i="3"/>
  <c r="AL34" i="3"/>
  <c r="AJ34" i="3" s="1"/>
  <c r="AI34" i="3"/>
  <c r="AL33" i="3"/>
  <c r="AJ33" i="3" s="1"/>
  <c r="AI33" i="3"/>
  <c r="AL32" i="3"/>
  <c r="AJ32" i="3" s="1"/>
  <c r="AI32" i="3"/>
  <c r="AL31" i="3"/>
  <c r="AJ31" i="3" s="1"/>
  <c r="AI31" i="3"/>
  <c r="AL30" i="3"/>
  <c r="AJ30" i="3" s="1"/>
  <c r="AI30" i="3"/>
  <c r="AL29" i="3"/>
  <c r="AJ29" i="3" s="1"/>
  <c r="AI29" i="3"/>
  <c r="AZ15" i="3" l="1"/>
  <c r="AZ14" i="3"/>
  <c r="AZ13" i="3"/>
  <c r="AZ9" i="3"/>
  <c r="AZ8" i="3"/>
  <c r="AZ7" i="3"/>
  <c r="AZ6" i="3"/>
  <c r="AZ5" i="3"/>
  <c r="AZ4" i="3"/>
  <c r="AZ3" i="3"/>
  <c r="C7" i="8" l="1"/>
  <c r="G49" i="8" l="1"/>
  <c r="I49" i="8" s="1"/>
  <c r="G33" i="8"/>
  <c r="I33" i="8" s="1"/>
  <c r="G54" i="8"/>
  <c r="I54" i="8" s="1"/>
  <c r="G67" i="8"/>
  <c r="I67" i="8" s="1"/>
  <c r="G66" i="8"/>
  <c r="I66" i="8" s="1"/>
  <c r="G68" i="8"/>
  <c r="I68" i="8" s="1"/>
  <c r="G60" i="8"/>
  <c r="I60" i="8" s="1"/>
  <c r="G52" i="8"/>
  <c r="I52" i="8" s="1"/>
  <c r="G38" i="8"/>
  <c r="I38" i="8" s="1"/>
  <c r="G65" i="8"/>
  <c r="I65" i="8" s="1"/>
  <c r="G32" i="8"/>
  <c r="I32" i="8" s="1"/>
  <c r="G37" i="8"/>
  <c r="I37" i="8" s="1"/>
  <c r="G70" i="8"/>
  <c r="I70" i="8" s="1"/>
  <c r="G62" i="8"/>
  <c r="I62" i="8" s="1"/>
  <c r="G59" i="8"/>
  <c r="I59" i="8" s="1"/>
  <c r="G36" i="8"/>
  <c r="I36" i="8" s="1"/>
  <c r="G41" i="8"/>
  <c r="I41" i="8" s="1"/>
  <c r="G35" i="8"/>
  <c r="I35" i="8" s="1"/>
  <c r="G61" i="8"/>
  <c r="I61" i="8" s="1"/>
  <c r="G58" i="8"/>
  <c r="I58" i="8" s="1"/>
  <c r="G34" i="8"/>
  <c r="I34" i="8" s="1"/>
  <c r="G43" i="8"/>
  <c r="I43" i="8" s="1"/>
  <c r="G48" i="8"/>
  <c r="I48" i="8" s="1"/>
  <c r="G42" i="8"/>
  <c r="I42" i="8" s="1"/>
  <c r="G31" i="8"/>
  <c r="I31" i="8" s="1"/>
  <c r="G51" i="8"/>
  <c r="I51" i="8" s="1"/>
  <c r="G46" i="8"/>
  <c r="I46" i="8" s="1"/>
  <c r="G53" i="8"/>
  <c r="I53" i="8" s="1"/>
  <c r="G29" i="8"/>
  <c r="I29" i="8" s="1"/>
  <c r="G44" i="8"/>
  <c r="I44" i="8" s="1"/>
  <c r="G57" i="8"/>
  <c r="I57" i="8" s="1"/>
  <c r="G30" i="8"/>
  <c r="I30" i="8" s="1"/>
  <c r="G45" i="8"/>
  <c r="I45" i="8" s="1"/>
  <c r="G50" i="8"/>
  <c r="I50" i="8" s="1"/>
  <c r="G55" i="8"/>
  <c r="I55" i="8" s="1"/>
  <c r="G64" i="8"/>
  <c r="I64" i="8" s="1"/>
  <c r="G63" i="8"/>
  <c r="I63" i="8" s="1"/>
  <c r="G47" i="8"/>
  <c r="I47" i="8" s="1"/>
  <c r="G56" i="8"/>
  <c r="I56" i="8" s="1"/>
  <c r="G69" i="8"/>
  <c r="I69" i="8" s="1"/>
  <c r="G40" i="8"/>
  <c r="I40" i="8" s="1"/>
  <c r="G39" i="8"/>
  <c r="I39" i="8" s="1"/>
  <c r="AH3" i="3"/>
  <c r="A116" i="3"/>
  <c r="AL28" i="3"/>
  <c r="AJ28" i="3" s="1"/>
  <c r="AL27" i="3"/>
  <c r="AJ27" i="3" s="1"/>
  <c r="AL26" i="3"/>
  <c r="AJ26" i="3" s="1"/>
  <c r="AL25" i="3"/>
  <c r="AJ25" i="3" s="1"/>
  <c r="AL24" i="3"/>
  <c r="AJ24" i="3" s="1"/>
  <c r="AL23" i="3"/>
  <c r="AJ23" i="3" s="1"/>
  <c r="AL22" i="3"/>
  <c r="AJ22" i="3" s="1"/>
  <c r="AL21" i="3"/>
  <c r="AJ21" i="3" s="1"/>
  <c r="AL20" i="3"/>
  <c r="AJ20" i="3" s="1"/>
  <c r="AL19" i="3"/>
  <c r="AJ19" i="3" s="1"/>
  <c r="AL18" i="3"/>
  <c r="AJ18" i="3" s="1"/>
  <c r="AL17" i="3"/>
  <c r="AJ17" i="3" s="1"/>
  <c r="AL16" i="3"/>
  <c r="AJ16" i="3" s="1"/>
  <c r="AL15" i="3"/>
  <c r="AJ15" i="3" s="1"/>
  <c r="AL14" i="3"/>
  <c r="AJ14" i="3" s="1"/>
  <c r="AL13" i="3"/>
  <c r="AJ13" i="3" s="1"/>
  <c r="AL12" i="3"/>
  <c r="AL11" i="3"/>
  <c r="AL10" i="3"/>
  <c r="I9" i="8"/>
  <c r="B9" i="8"/>
  <c r="B3" i="8"/>
  <c r="E7" i="8" l="1"/>
  <c r="D5" i="8"/>
  <c r="M83" i="3"/>
  <c r="G7" i="8" l="1"/>
  <c r="G5" i="8"/>
  <c r="M112" i="3"/>
  <c r="M115" i="3"/>
  <c r="M114" i="3"/>
  <c r="M113" i="3"/>
  <c r="M104" i="3"/>
  <c r="M103" i="3"/>
  <c r="M108" i="3"/>
  <c r="M107" i="3"/>
  <c r="M106" i="3"/>
  <c r="M105" i="3"/>
  <c r="M109" i="3"/>
  <c r="M99" i="3"/>
  <c r="M98" i="3"/>
  <c r="M97" i="3"/>
  <c r="M96" i="3"/>
  <c r="M101" i="3"/>
  <c r="M100" i="3"/>
  <c r="M95" i="3"/>
  <c r="M94" i="3"/>
  <c r="M93" i="3"/>
  <c r="M92" i="3"/>
  <c r="M91" i="3"/>
  <c r="M90" i="3"/>
  <c r="M89" i="3"/>
  <c r="M88" i="3"/>
  <c r="M87" i="3"/>
  <c r="M85" i="3"/>
  <c r="M84" i="3"/>
  <c r="M82" i="3"/>
  <c r="M86" i="3"/>
  <c r="M81" i="3"/>
  <c r="M80" i="3"/>
  <c r="M79" i="3"/>
  <c r="M78" i="3"/>
  <c r="M76" i="3"/>
  <c r="M77" i="3"/>
  <c r="M75" i="3"/>
  <c r="M74" i="3"/>
  <c r="M73" i="3"/>
  <c r="M72" i="3"/>
  <c r="M71" i="3"/>
  <c r="M70" i="3"/>
  <c r="M69" i="3"/>
  <c r="M58" i="3"/>
  <c r="M55" i="3"/>
  <c r="M59" i="3"/>
  <c r="M52" i="3"/>
  <c r="M50" i="3"/>
  <c r="M49" i="3"/>
  <c r="M48" i="3"/>
  <c r="M51" i="3"/>
  <c r="M46" i="3"/>
  <c r="M47" i="3"/>
  <c r="M45" i="3"/>
  <c r="M44" i="3"/>
  <c r="M41" i="3"/>
  <c r="M42" i="3"/>
  <c r="M43" i="3"/>
  <c r="M40" i="3"/>
  <c r="M39" i="3"/>
  <c r="M38" i="3"/>
  <c r="M37" i="3"/>
  <c r="M29" i="3"/>
  <c r="M28" i="3"/>
  <c r="M27" i="3"/>
  <c r="M26" i="3"/>
  <c r="M25" i="3"/>
  <c r="M24" i="3"/>
  <c r="M23" i="3"/>
  <c r="M22" i="3"/>
  <c r="M36" i="3"/>
  <c r="M35" i="3"/>
  <c r="M34" i="3"/>
  <c r="M33" i="3"/>
  <c r="M32" i="3"/>
  <c r="M31" i="3"/>
  <c r="M30" i="3"/>
  <c r="M21" i="3"/>
  <c r="M20" i="3"/>
  <c r="M19" i="3"/>
  <c r="M18" i="3"/>
  <c r="M17" i="3"/>
  <c r="M16" i="3"/>
  <c r="M15" i="3"/>
  <c r="M14" i="3"/>
  <c r="M13" i="3"/>
  <c r="M12" i="3"/>
  <c r="M10" i="3"/>
  <c r="M9" i="3"/>
  <c r="M11" i="3"/>
  <c r="M8" i="3"/>
  <c r="M7" i="3"/>
  <c r="M6" i="3"/>
  <c r="M5" i="3"/>
  <c r="M4" i="3"/>
  <c r="M3" i="3"/>
  <c r="M54" i="3"/>
  <c r="A11" i="8"/>
  <c r="A115" i="3"/>
  <c r="A114" i="3"/>
  <c r="A113" i="3"/>
  <c r="A112" i="3"/>
  <c r="A111" i="3"/>
  <c r="A110" i="3"/>
  <c r="A109" i="3"/>
  <c r="A108" i="3"/>
  <c r="A107" i="3"/>
  <c r="A106" i="3"/>
  <c r="A105" i="3"/>
  <c r="A104" i="3"/>
  <c r="A103" i="3"/>
  <c r="A102" i="3"/>
  <c r="A101" i="3"/>
  <c r="A100" i="3"/>
  <c r="A99" i="3"/>
  <c r="A98" i="3"/>
  <c r="A97" i="3"/>
  <c r="A96" i="3"/>
  <c r="A95" i="3"/>
  <c r="A94" i="3"/>
  <c r="A93" i="3"/>
  <c r="A92" i="3"/>
  <c r="A91" i="3"/>
  <c r="A90" i="3"/>
  <c r="A89" i="3"/>
  <c r="A88" i="3"/>
  <c r="A87" i="3"/>
  <c r="A86" i="3"/>
  <c r="A85" i="3"/>
  <c r="A84" i="3"/>
  <c r="A83" i="3"/>
  <c r="A82" i="3"/>
  <c r="A81" i="3"/>
  <c r="A80" i="3"/>
  <c r="A79" i="3"/>
  <c r="A78" i="3"/>
  <c r="A77" i="3"/>
  <c r="A76" i="3"/>
  <c r="A75" i="3"/>
  <c r="A74" i="3"/>
  <c r="A73" i="3"/>
  <c r="A72" i="3"/>
  <c r="A71" i="3"/>
  <c r="A70" i="3"/>
  <c r="A69" i="3"/>
  <c r="A68" i="3"/>
  <c r="A67" i="3"/>
  <c r="A66" i="3"/>
  <c r="A65" i="3"/>
  <c r="A64" i="3"/>
  <c r="A63" i="3"/>
  <c r="A62" i="3"/>
  <c r="A61" i="3"/>
  <c r="A60" i="3"/>
  <c r="A59" i="3"/>
  <c r="A58" i="3"/>
  <c r="A57" i="3"/>
  <c r="A56" i="3"/>
  <c r="A55" i="3"/>
  <c r="A54" i="3"/>
  <c r="A53" i="3"/>
  <c r="A52" i="3"/>
  <c r="A51" i="3"/>
  <c r="A50" i="3"/>
  <c r="A49" i="3"/>
  <c r="A48" i="3"/>
  <c r="A47" i="3"/>
  <c r="A46" i="3"/>
  <c r="A45" i="3"/>
  <c r="A44" i="3"/>
  <c r="A43" i="3"/>
  <c r="A42" i="3"/>
  <c r="A41" i="3"/>
  <c r="A40" i="3"/>
  <c r="A39" i="3"/>
  <c r="A38" i="3"/>
  <c r="A37" i="3"/>
  <c r="A36" i="3"/>
  <c r="A35" i="3"/>
  <c r="A34" i="3"/>
  <c r="A33" i="3"/>
  <c r="A32" i="3"/>
  <c r="A31" i="3"/>
  <c r="A30" i="3"/>
  <c r="A29" i="3"/>
  <c r="A28" i="3"/>
  <c r="A27" i="3"/>
  <c r="A26" i="3"/>
  <c r="A25" i="3"/>
  <c r="A24" i="3"/>
  <c r="A23" i="3"/>
  <c r="A22" i="3"/>
  <c r="A21" i="3"/>
  <c r="A20" i="3"/>
  <c r="A19" i="3"/>
  <c r="A18" i="3"/>
  <c r="A17" i="3"/>
  <c r="A16" i="3"/>
  <c r="A15" i="3"/>
  <c r="A14" i="3"/>
  <c r="A13" i="3"/>
  <c r="A12" i="3"/>
  <c r="A11" i="3"/>
  <c r="A10" i="3"/>
  <c r="A9" i="3"/>
  <c r="A8" i="3"/>
  <c r="A7" i="3"/>
  <c r="A6" i="3"/>
  <c r="A5" i="3"/>
  <c r="A4" i="3"/>
  <c r="A3" i="3"/>
  <c r="AI23" i="3" l="1"/>
  <c r="AI22" i="3"/>
  <c r="AI21" i="3"/>
  <c r="AI20" i="3"/>
  <c r="AI19" i="3"/>
  <c r="AI18" i="3"/>
  <c r="AI17" i="3"/>
  <c r="AI16" i="3"/>
  <c r="AI15" i="3"/>
  <c r="AI14" i="3"/>
  <c r="AI13" i="3"/>
  <c r="AI12" i="3"/>
  <c r="AJ12" i="3" s="1"/>
  <c r="AK12" i="3" s="1"/>
  <c r="AI11" i="3"/>
  <c r="AJ11" i="3" s="1"/>
  <c r="AK11" i="3" s="1"/>
  <c r="AI10" i="3"/>
  <c r="AJ10" i="3" s="1"/>
  <c r="AK10" i="3" s="1"/>
  <c r="AI28" i="3"/>
  <c r="AI27" i="3"/>
  <c r="AI26" i="3"/>
  <c r="AI25" i="3"/>
  <c r="AI24" i="3"/>
  <c r="M23" i="8"/>
  <c r="L18" i="8"/>
  <c r="K13" i="8"/>
  <c r="M28" i="8"/>
  <c r="L23" i="8"/>
  <c r="M12" i="8"/>
  <c r="K10" i="8"/>
  <c r="L19" i="8"/>
  <c r="K18" i="8"/>
  <c r="K11" i="8"/>
  <c r="K16" i="8"/>
  <c r="M14" i="8"/>
  <c r="L28" i="8"/>
  <c r="K23" i="8"/>
  <c r="M17" i="8"/>
  <c r="L12" i="8"/>
  <c r="M16" i="8"/>
  <c r="K27" i="8"/>
  <c r="L16" i="8"/>
  <c r="M19" i="8"/>
  <c r="M13" i="8"/>
  <c r="L13" i="8"/>
  <c r="K28" i="8"/>
  <c r="M22" i="8"/>
  <c r="L17" i="8"/>
  <c r="K12" i="8"/>
  <c r="M27" i="8"/>
  <c r="L22" i="8"/>
  <c r="K17" i="8"/>
  <c r="M11" i="8"/>
  <c r="K22" i="8"/>
  <c r="L11" i="8"/>
  <c r="M21" i="8"/>
  <c r="M26" i="8"/>
  <c r="M10" i="8"/>
  <c r="M24" i="8"/>
  <c r="L24" i="8"/>
  <c r="K24" i="8"/>
  <c r="L27" i="8"/>
  <c r="L21" i="8"/>
  <c r="K20" i="8"/>
  <c r="L14" i="8"/>
  <c r="K14" i="8"/>
  <c r="L26" i="8"/>
  <c r="K21" i="8"/>
  <c r="M15" i="8"/>
  <c r="L10" i="8"/>
  <c r="K26" i="8"/>
  <c r="M20" i="8"/>
  <c r="L15" i="8"/>
  <c r="K25" i="8"/>
  <c r="M25" i="8"/>
  <c r="L20" i="8"/>
  <c r="K15" i="8"/>
  <c r="L25" i="8"/>
  <c r="K19" i="8"/>
  <c r="M18" i="8"/>
  <c r="G27" i="8"/>
  <c r="G18" i="8"/>
  <c r="G25" i="8"/>
  <c r="G21" i="8"/>
  <c r="G20" i="8"/>
  <c r="G12" i="8"/>
  <c r="G16" i="8"/>
  <c r="G17" i="8"/>
  <c r="G28" i="8"/>
  <c r="G11" i="8"/>
  <c r="G23" i="8"/>
  <c r="G26" i="8"/>
  <c r="G10" i="8"/>
  <c r="G13" i="8"/>
  <c r="G15" i="8"/>
  <c r="G14" i="8"/>
  <c r="G24" i="8"/>
  <c r="G22" i="8"/>
  <c r="G19" i="8"/>
  <c r="A12" i="8"/>
  <c r="A13" i="8" s="1"/>
  <c r="A14" i="8" s="1"/>
  <c r="AI7" i="3" l="1"/>
  <c r="AI8" i="3"/>
  <c r="J48" i="8"/>
  <c r="J38" i="8"/>
  <c r="J30" i="8"/>
  <c r="J49" i="8"/>
  <c r="J37" i="8"/>
  <c r="J44" i="8"/>
  <c r="J32" i="8"/>
  <c r="J46" i="8"/>
  <c r="J36" i="8"/>
  <c r="J23" i="8"/>
  <c r="J42" i="8"/>
  <c r="J35" i="8"/>
  <c r="J19" i="8"/>
  <c r="J31" i="8"/>
  <c r="J18" i="8"/>
  <c r="J17" i="8"/>
  <c r="J41" i="8"/>
  <c r="J33" i="8"/>
  <c r="J25" i="8"/>
  <c r="J28" i="8"/>
  <c r="J40" i="8"/>
  <c r="A15" i="8"/>
  <c r="I28" i="8"/>
  <c r="I25" i="8"/>
  <c r="I17" i="8"/>
  <c r="I19" i="8"/>
  <c r="I21" i="8"/>
  <c r="I27" i="8"/>
  <c r="I16" i="8"/>
  <c r="I15" i="8"/>
  <c r="I24" i="8"/>
  <c r="I26" i="8"/>
  <c r="I23" i="8"/>
  <c r="I18" i="8"/>
  <c r="I10" i="8"/>
  <c r="I20" i="8"/>
  <c r="I14" i="8"/>
  <c r="I22" i="8"/>
  <c r="I13" i="8"/>
  <c r="I12" i="8"/>
  <c r="I11" i="8"/>
  <c r="AJ3" i="3" l="1"/>
  <c r="AK3" i="3"/>
  <c r="J47" i="8"/>
  <c r="J26" i="8"/>
  <c r="J39" i="8"/>
  <c r="J50" i="8"/>
  <c r="J27" i="8"/>
  <c r="J45" i="8"/>
  <c r="J34" i="8"/>
  <c r="J24" i="8"/>
  <c r="J20" i="8"/>
  <c r="J43" i="8"/>
  <c r="J21" i="8"/>
  <c r="J29" i="8"/>
  <c r="J22" i="8"/>
  <c r="J65" i="8"/>
  <c r="J58" i="8"/>
  <c r="J70" i="8"/>
  <c r="J54" i="8"/>
  <c r="J61" i="8"/>
  <c r="J62" i="8"/>
  <c r="J51" i="8"/>
  <c r="J67" i="8"/>
  <c r="J66" i="8"/>
  <c r="J68" i="8"/>
  <c r="J60" i="8"/>
  <c r="J59" i="8"/>
  <c r="J53" i="8"/>
  <c r="J69" i="8"/>
  <c r="J57" i="8"/>
  <c r="J63" i="8"/>
  <c r="J52" i="8"/>
  <c r="J56" i="8"/>
  <c r="J64" i="8"/>
  <c r="J55" i="8"/>
  <c r="K8" i="8"/>
  <c r="G8" i="8" s="1"/>
  <c r="A16" i="8"/>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E8" i="8" l="1"/>
  <c r="AJ4" i="3"/>
  <c r="AM3" i="3" s="1"/>
  <c r="AN3" i="3"/>
  <c r="AO3" i="3"/>
  <c r="G4" i="8" l="1"/>
  <c r="K4" i="8" s="1"/>
  <c r="E4" i="8" l="1" a="1"/>
  <c r="E4" i="8" s="1"/>
  <c r="J10" i="8"/>
  <c r="J16" i="8"/>
  <c r="J15" i="8"/>
  <c r="J14" i="8"/>
  <c r="J13" i="8"/>
  <c r="J11" i="8"/>
  <c r="J12"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tc={BAF8FBBD-99A8-490E-80D3-16B4D05CFB9D}</author>
    <author>tc={52A3C824-831E-49AA-9F60-90EEDB56CB65}</author>
    <author>tc={BEF31AA6-AE7F-46B1-8EF8-99378C24A225}</author>
    <author>tc={0DA9DAF8-E448-4B94-AF72-B676B2E9CCA9}</author>
    <author>tc={8623D1FD-92A2-4FF3-9EB6-442C2CDAF391}</author>
    <author>tc={C284036D-4FEF-47E7-A627-388231BF12F5}</author>
    <author>tc={2CBC5CE7-C292-450C-85C5-274A2D8BE15C}</author>
    <author>tc={CB4CBFE3-177F-46F8-84ED-A9E79C0DAB02}</author>
    <author>tc={35CB99EA-457F-4B7B-B027-3529ABDD3B30}</author>
    <author>tc={A04AC23D-AC09-43AA-AE43-9698A5E72F1F}</author>
    <author>tc={9A412642-C248-4DBC-B686-DE2DCAE6CCEA}</author>
    <author>tc={CDD1979A-6865-478D-9873-E22F55FFD860}</author>
    <author>tc={0E08B13D-5852-45F5-A7E3-0DA42242E4A6}</author>
    <author>tc={556888A6-4E98-420F-BB9C-31F65F293126}</author>
    <author>tc={78994CA4-B685-4EB6-B522-8F57781D8CCD}</author>
    <author>tc={541B1326-A162-4EDC-8ECD-33C043844D4B}</author>
    <author>tc={A0E53C62-0E6C-4E5B-B082-1106427BEDC8}</author>
    <author>tc={87BA8B15-753E-41B7-A62D-6D738EE272CD}</author>
    <author>tc={CE5B41C5-DE18-4F70-94B4-CAFC02FB7906}</author>
    <author>tc={02A8F341-E229-4917-9A86-2F3AD7EC08CE}</author>
    <author>tc={04E118FF-A534-47AA-99E6-58E9801AF6F0}</author>
    <author>tc={635F2EC3-ECEB-4707-BF49-72D5948EF4B9}</author>
    <author>tc={5CD4B20A-4508-4FAE-A1D9-AFD799CC60BA}</author>
    <author>tc={63A49891-8447-40A5-9D1D-D9FDB1040718}</author>
    <author>tc={3D4EB8D4-4607-44E7-B06C-ECC79A0086BE}</author>
    <author>tc={AB50E2DE-F5C6-4BAD-A8CF-B272FDB7A103}</author>
    <author>tc={033971E7-34F6-4DCF-BA03-329EBB0440A2}</author>
    <author>tc={58B016D1-37B5-43BC-AEFB-A8B805EFCDF4}</author>
    <author>tc={7ADC0345-FE3D-4E61-8AF9-2CA9487C63A7}</author>
    <author>tc={B96A6D47-67C4-4462-9881-44F0015B6A7C}</author>
    <author>tc={D9FE7451-50DE-4778-8BCC-856085F3DC3B}</author>
    <author>tc={3931377B-CE27-4315-8B5B-A40C3D5794EF}</author>
    <author>tc={EBD270AC-31C7-403F-A03B-B056B0422A7A}</author>
    <author>tc={686A398C-B99A-4E54-A296-83F4FE6E130B}</author>
    <author>tc={18B0F1D6-51F0-4899-9389-B284D97887F0}</author>
    <author>tc={19D91DF7-500B-4A45-96A9-F25A38819CDE}</author>
    <author>tc={DCFD9FFE-96F5-418F-BA90-AFAF83EAB246}</author>
    <author>tc={C74F34DB-4D90-4DC3-89C6-0E8404408247}</author>
    <author>tc={5AA1E001-2EAC-42BA-8546-E4854009A887}</author>
    <author>tc={F038EBC5-6C00-4061-91EE-411A15D11876}</author>
    <author>tc={4133F171-1323-4C81-ACB5-25431E832094}</author>
    <author>tc={EEE5973A-FCEF-40E8-AE0D-05EA4563CCE8}</author>
    <author>tc={A3137A69-1257-4F63-8FFB-D0C5FBF568B3}</author>
    <author>tc={CE1858C2-E56F-4C82-9C2A-46A87DEAB494}</author>
    <author>tc={333C6FBB-E811-4C68-A2B4-F5F57443D3CE}</author>
    <author>tc={524B3F53-C523-4F48-8255-CF2323D4DFD4}</author>
    <author>tc={1689B497-0060-40BE-996E-3972DDE0BF81}</author>
    <author>tc={2BF51134-AE13-4170-9510-2749FEC3CB1C}</author>
    <author>tc={6110E8B9-3CD9-4948-9E96-DDD66D9697F6}</author>
    <author>tc={6CB676B3-57D1-4929-A770-F4732841CE5C}</author>
    <author>tc={0BDA3C18-49F8-4D6D-8EE1-ABD4F47F1657}</author>
    <author>tc={44D57893-44B3-4D73-8045-1FE27A09A3BB}</author>
    <author>tc={1FB87723-B345-4101-ADD5-31422A73EE37}</author>
    <author>tc={EFE33A37-63DD-4BE5-A503-F2671A4CA8D5}</author>
  </authors>
  <commentList>
    <comment ref="F44" authorId="0" shapeId="0" xr:uid="{BAF8FBBD-99A8-490E-80D3-16B4D05CFB9D}">
      <text>
        <t>[Threaded comment]
Your version of Excel allows you to read this threaded comment; however, any edits to it will get removed if the file is opened in a newer version of Excel. Learn more: https://go.microsoft.com/fwlink/?linkid=870924
Comment:
    Added values for type 39, food sales</t>
      </text>
    </comment>
    <comment ref="G44" authorId="1" shapeId="0" xr:uid="{52A3C824-831E-49AA-9F60-90EEDB56CB65}">
      <text>
        <t>[Threaded comment]
Your version of Excel allows you to read this threaded comment; however, any edits to it will get removed if the file is opened in a newer version of Excel. Learn more: https://go.microsoft.com/fwlink/?linkid=870924
Comment:
    Added values for type 39, food sales</t>
      </text>
    </comment>
    <comment ref="H44" authorId="2" shapeId="0" xr:uid="{BEF31AA6-AE7F-46B1-8EF8-99378C24A225}">
      <text>
        <t>[Threaded comment]
Your version of Excel allows you to read this threaded comment; however, any edits to it will get removed if the file is opened in a newer version of Excel. Learn more: https://go.microsoft.com/fwlink/?linkid=870924
Comment:
    Added values for type 39, food sales</t>
      </text>
    </comment>
    <comment ref="I44" authorId="3" shapeId="0" xr:uid="{0DA9DAF8-E448-4B94-AF72-B676B2E9CCA9}">
      <text>
        <t>[Threaded comment]
Your version of Excel allows you to read this threaded comment; however, any edits to it will get removed if the file is opened in a newer version of Excel. Learn more: https://go.microsoft.com/fwlink/?linkid=870924
Comment:
    Added values for type 39, food sales</t>
      </text>
    </comment>
    <comment ref="J44" authorId="4" shapeId="0" xr:uid="{8623D1FD-92A2-4FF3-9EB6-442C2CDAF391}">
      <text>
        <t>[Threaded comment]
Your version of Excel allows you to read this threaded comment; however, any edits to it will get removed if the file is opened in a newer version of Excel. Learn more: https://go.microsoft.com/fwlink/?linkid=870924
Comment:
    Added values for type 39, food sales</t>
      </text>
    </comment>
    <comment ref="K44" authorId="5" shapeId="0" xr:uid="{C284036D-4FEF-47E7-A627-388231BF12F5}">
      <text>
        <t>[Threaded comment]
Your version of Excel allows you to read this threaded comment; however, any edits to it will get removed if the file is opened in a newer version of Excel. Learn more: https://go.microsoft.com/fwlink/?linkid=870924
Comment:
    Added values for type 39, food sales</t>
      </text>
    </comment>
    <comment ref="L44" authorId="6" shapeId="0" xr:uid="{2CBC5CE7-C292-450C-85C5-274A2D8BE15C}">
      <text>
        <t>[Threaded comment]
Your version of Excel allows you to read this threaded comment; however, any edits to it will get removed if the file is opened in a newer version of Excel. Learn more: https://go.microsoft.com/fwlink/?linkid=870924
Comment:
    Added values for type 39, food sales</t>
      </text>
    </comment>
    <comment ref="M44" authorId="7" shapeId="0" xr:uid="{CB4CBFE3-177F-46F8-84ED-A9E79C0DAB02}">
      <text>
        <t>[Threaded comment]
Your version of Excel allows you to read this threaded comment; however, any edits to it will get removed if the file is opened in a newer version of Excel. Learn more: https://go.microsoft.com/fwlink/?linkid=870924
Comment:
    Added values for type 39, food sales</t>
      </text>
    </comment>
    <comment ref="F47" authorId="8" shapeId="0" xr:uid="{35CB99EA-457F-4B7B-B027-3529ABDD3B30}">
      <text>
        <t>[Threaded comment]
Your version of Excel allows you to read this threaded comment; however, any edits to it will get removed if the file is opened in a newer version of Excel. Learn more: https://go.microsoft.com/fwlink/?linkid=870924
Comment:
    Added values for type 43, food service</t>
      </text>
    </comment>
    <comment ref="G47" authorId="9" shapeId="0" xr:uid="{A04AC23D-AC09-43AA-AE43-9698A5E72F1F}">
      <text>
        <t>[Threaded comment]
Your version of Excel allows you to read this threaded comment; however, any edits to it will get removed if the file is opened in a newer version of Excel. Learn more: https://go.microsoft.com/fwlink/?linkid=870924
Comment:
    Added values for type 43, food service</t>
      </text>
    </comment>
    <comment ref="H47" authorId="10" shapeId="0" xr:uid="{9A412642-C248-4DBC-B686-DE2DCAE6CCEA}">
      <text>
        <t>[Threaded comment]
Your version of Excel allows you to read this threaded comment; however, any edits to it will get removed if the file is opened in a newer version of Excel. Learn more: https://go.microsoft.com/fwlink/?linkid=870924
Comment:
    Added values for type 43, food service</t>
      </text>
    </comment>
    <comment ref="I47" authorId="11" shapeId="0" xr:uid="{CDD1979A-6865-478D-9873-E22F55FFD860}">
      <text>
        <t>[Threaded comment]
Your version of Excel allows you to read this threaded comment; however, any edits to it will get removed if the file is opened in a newer version of Excel. Learn more: https://go.microsoft.com/fwlink/?linkid=870924
Comment:
    Added values for type 43, food service</t>
      </text>
    </comment>
    <comment ref="J47" authorId="12" shapeId="0" xr:uid="{0E08B13D-5852-45F5-A7E3-0DA42242E4A6}">
      <text>
        <t>[Threaded comment]
Your version of Excel allows you to read this threaded comment; however, any edits to it will get removed if the file is opened in a newer version of Excel. Learn more: https://go.microsoft.com/fwlink/?linkid=870924
Comment:
    Added values for type 43, food service</t>
      </text>
    </comment>
    <comment ref="K47" authorId="13" shapeId="0" xr:uid="{556888A6-4E98-420F-BB9C-31F65F293126}">
      <text>
        <t>[Threaded comment]
Your version of Excel allows you to read this threaded comment; however, any edits to it will get removed if the file is opened in a newer version of Excel. Learn more: https://go.microsoft.com/fwlink/?linkid=870924
Comment:
    Added values for type 43, food service</t>
      </text>
    </comment>
    <comment ref="L47" authorId="14" shapeId="0" xr:uid="{78994CA4-B685-4EB6-B522-8F57781D8CCD}">
      <text>
        <t>[Threaded comment]
Your version of Excel allows you to read this threaded comment; however, any edits to it will get removed if the file is opened in a newer version of Excel. Learn more: https://go.microsoft.com/fwlink/?linkid=870924
Comment:
    Added values for type 43, food service</t>
      </text>
    </comment>
    <comment ref="M47" authorId="15" shapeId="0" xr:uid="{541B1326-A162-4EDC-8ECD-33C043844D4B}">
      <text>
        <t>[Threaded comment]
Your version of Excel allows you to read this threaded comment; however, any edits to it will get removed if the file is opened in a newer version of Excel. Learn more: https://go.microsoft.com/fwlink/?linkid=870924
Comment:
    Added values for type 43, food service</t>
      </text>
    </comment>
    <comment ref="F50" authorId="16" shapeId="0" xr:uid="{A0E53C62-0E6C-4E5B-B082-1106427BEDC8}">
      <text>
        <t>[Threaded comment]
Your version of Excel allows you to read this threaded comment; however, any edits to it will get removed if the file is opened in a newer version of Excel. Learn more: https://go.microsoft.com/fwlink/?linkid=870924
Comment:
    Added values from type 39, food sales</t>
      </text>
    </comment>
    <comment ref="G50" authorId="17" shapeId="0" xr:uid="{87BA8B15-753E-41B7-A62D-6D738EE272CD}">
      <text>
        <t>[Threaded comment]
Your version of Excel allows you to read this threaded comment; however, any edits to it will get removed if the file is opened in a newer version of Excel. Learn more: https://go.microsoft.com/fwlink/?linkid=870924
Comment:
    Added values from type 39, food sales</t>
      </text>
    </comment>
    <comment ref="H50" authorId="18" shapeId="0" xr:uid="{CE5B41C5-DE18-4F70-94B4-CAFC02FB7906}">
      <text>
        <t>[Threaded comment]
Your version of Excel allows you to read this threaded comment; however, any edits to it will get removed if the file is opened in a newer version of Excel. Learn more: https://go.microsoft.com/fwlink/?linkid=870924
Comment:
    Added values from type 39, food sales</t>
      </text>
    </comment>
    <comment ref="I50" authorId="19" shapeId="0" xr:uid="{02A8F341-E229-4917-9A86-2F3AD7EC08CE}">
      <text>
        <t>[Threaded comment]
Your version of Excel allows you to read this threaded comment; however, any edits to it will get removed if the file is opened in a newer version of Excel. Learn more: https://go.microsoft.com/fwlink/?linkid=870924
Comment:
    Added values from type 39, food sales</t>
      </text>
    </comment>
    <comment ref="J50" authorId="20" shapeId="0" xr:uid="{04E118FF-A534-47AA-99E6-58E9801AF6F0}">
      <text>
        <t>[Threaded comment]
Your version of Excel allows you to read this threaded comment; however, any edits to it will get removed if the file is opened in a newer version of Excel. Learn more: https://go.microsoft.com/fwlink/?linkid=870924
Comment:
    Added values from type 39, food sales</t>
      </text>
    </comment>
    <comment ref="K50" authorId="21" shapeId="0" xr:uid="{635F2EC3-ECEB-4707-BF49-72D5948EF4B9}">
      <text>
        <t>[Threaded comment]
Your version of Excel allows you to read this threaded comment; however, any edits to it will get removed if the file is opened in a newer version of Excel. Learn more: https://go.microsoft.com/fwlink/?linkid=870924
Comment:
    Added values from type 39, food sales</t>
      </text>
    </comment>
    <comment ref="L50" authorId="22" shapeId="0" xr:uid="{5CD4B20A-4508-4FAE-A1D9-AFD799CC60BA}">
      <text>
        <t>[Threaded comment]
Your version of Excel allows you to read this threaded comment; however, any edits to it will get removed if the file is opened in a newer version of Excel. Learn more: https://go.microsoft.com/fwlink/?linkid=870924
Comment:
    Added values from type 39, food sales</t>
      </text>
    </comment>
    <comment ref="M50" authorId="23" shapeId="0" xr:uid="{63A49891-8447-40A5-9D1D-D9FDB1040718}">
      <text>
        <t>[Threaded comment]
Your version of Excel allows you to read this threaded comment; however, any edits to it will get removed if the file is opened in a newer version of Excel. Learn more: https://go.microsoft.com/fwlink/?linkid=870924
Comment:
    Added values from type 39, food sales</t>
      </text>
    </comment>
    <comment ref="R50" authorId="24" shapeId="0" xr:uid="{3D4EB8D4-4607-44E7-B06C-ECC79A0086BE}">
      <text>
        <t>[Threaded comment]
Your version of Excel allows you to read this threaded comment; however, any edits to it will get removed if the file is opened in a newer version of Excel. Learn more: https://go.microsoft.com/fwlink/?linkid=870924
Comment:
    Removing note 4, this is not going to be a mixed-use type</t>
      </text>
    </comment>
    <comment ref="F54" authorId="25" shapeId="0" xr:uid="{AB50E2DE-F5C6-4BAD-A8CF-B272FDB7A103}">
      <text>
        <t>[Threaded comment]
Your version of Excel allows you to read this threaded comment; however, any edits to it will get removed if the file is opened in a newer version of Excel. Learn more: https://go.microsoft.com/fwlink/?linkid=870924
Comment:
    Added values from type 72, medical office</t>
      </text>
    </comment>
    <comment ref="G54" authorId="26" shapeId="0" xr:uid="{033971E7-34F6-4DCF-BA03-329EBB0440A2}">
      <text>
        <t>[Threaded comment]
Your version of Excel allows you to read this threaded comment; however, any edits to it will get removed if the file is opened in a newer version of Excel. Learn more: https://go.microsoft.com/fwlink/?linkid=870924
Comment:
    Added values from type 72, medical office</t>
      </text>
    </comment>
    <comment ref="H54" authorId="27" shapeId="0" xr:uid="{58B016D1-37B5-43BC-AEFB-A8B805EFCDF4}">
      <text>
        <t>[Threaded comment]
Your version of Excel allows you to read this threaded comment; however, any edits to it will get removed if the file is opened in a newer version of Excel. Learn more: https://go.microsoft.com/fwlink/?linkid=870924
Comment:
    Added values from type 72, medical office</t>
      </text>
    </comment>
    <comment ref="I54" authorId="28" shapeId="0" xr:uid="{7ADC0345-FE3D-4E61-8AF9-2CA9487C63A7}">
      <text>
        <t>[Threaded comment]
Your version of Excel allows you to read this threaded comment; however, any edits to it will get removed if the file is opened in a newer version of Excel. Learn more: https://go.microsoft.com/fwlink/?linkid=870924
Comment:
    Added values from type 72, medical office</t>
      </text>
    </comment>
    <comment ref="J54" authorId="29" shapeId="0" xr:uid="{B96A6D47-67C4-4462-9881-44F0015B6A7C}">
      <text>
        <t>[Threaded comment]
Your version of Excel allows you to read this threaded comment; however, any edits to it will get removed if the file is opened in a newer version of Excel. Learn more: https://go.microsoft.com/fwlink/?linkid=870924
Comment:
    Added values from type 72, medical office</t>
      </text>
    </comment>
    <comment ref="K54" authorId="30" shapeId="0" xr:uid="{D9FE7451-50DE-4778-8BCC-856085F3DC3B}">
      <text>
        <t>[Threaded comment]
Your version of Excel allows you to read this threaded comment; however, any edits to it will get removed if the file is opened in a newer version of Excel. Learn more: https://go.microsoft.com/fwlink/?linkid=870924
Comment:
    Added values from type 72, medical office</t>
      </text>
    </comment>
    <comment ref="L54" authorId="31" shapeId="0" xr:uid="{3931377B-CE27-4315-8B5B-A40C3D5794EF}">
      <text>
        <t>[Threaded comment]
Your version of Excel allows you to read this threaded comment; however, any edits to it will get removed if the file is opened in a newer version of Excel. Learn more: https://go.microsoft.com/fwlink/?linkid=870924
Comment:
    Added values from type 72, medical office</t>
      </text>
    </comment>
    <comment ref="M54" authorId="32" shapeId="0" xr:uid="{EBD270AC-31C7-403F-A03B-B056B0422A7A}">
      <text>
        <t>[Threaded comment]
Your version of Excel allows you to read this threaded comment; however, any edits to it will get removed if the file is opened in a newer version of Excel. Learn more: https://go.microsoft.com/fwlink/?linkid=870924
Comment:
    Added values from type 72, medical office</t>
      </text>
    </comment>
    <comment ref="F70" authorId="33" shapeId="0" xr:uid="{686A398C-B99A-4E54-A296-83F4FE6E130B}">
      <text>
        <t>[Threaded comment]
Your version of Excel allows you to read this threaded comment; however, any edits to it will get removed if the file is opened in a newer version of Excel. Learn more: https://go.microsoft.com/fwlink/?linkid=870924
Comment:
    Added values from type 72, medical office</t>
      </text>
    </comment>
    <comment ref="G70" authorId="34" shapeId="0" xr:uid="{18B0F1D6-51F0-4899-9389-B284D97887F0}">
      <text>
        <t>[Threaded comment]
Your version of Excel allows you to read this threaded comment; however, any edits to it will get removed if the file is opened in a newer version of Excel. Learn more: https://go.microsoft.com/fwlink/?linkid=870924
Comment:
    Added values from type 72, medical office</t>
      </text>
    </comment>
    <comment ref="H70" authorId="35" shapeId="0" xr:uid="{19D91DF7-500B-4A45-96A9-F25A38819CDE}">
      <text>
        <t>[Threaded comment]
Your version of Excel allows you to read this threaded comment; however, any edits to it will get removed if the file is opened in a newer version of Excel. Learn more: https://go.microsoft.com/fwlink/?linkid=870924
Comment:
    Added values from type 72, medical office</t>
      </text>
    </comment>
    <comment ref="I70" authorId="36" shapeId="0" xr:uid="{DCFD9FFE-96F5-418F-BA90-AFAF83EAB246}">
      <text>
        <t>[Threaded comment]
Your version of Excel allows you to read this threaded comment; however, any edits to it will get removed if the file is opened in a newer version of Excel. Learn more: https://go.microsoft.com/fwlink/?linkid=870924
Comment:
    Added values from type 72, medical office</t>
      </text>
    </comment>
    <comment ref="J70" authorId="37" shapeId="0" xr:uid="{C74F34DB-4D90-4DC3-89C6-0E8404408247}">
      <text>
        <t>[Threaded comment]
Your version of Excel allows you to read this threaded comment; however, any edits to it will get removed if the file is opened in a newer version of Excel. Learn more: https://go.microsoft.com/fwlink/?linkid=870924
Comment:
    Added values from type 72, medical office</t>
      </text>
    </comment>
    <comment ref="K70" authorId="38" shapeId="0" xr:uid="{5AA1E001-2EAC-42BA-8546-E4854009A887}">
      <text>
        <t>[Threaded comment]
Your version of Excel allows you to read this threaded comment; however, any edits to it will get removed if the file is opened in a newer version of Excel. Learn more: https://go.microsoft.com/fwlink/?linkid=870924
Comment:
    Added values from type 72, medical office</t>
      </text>
    </comment>
    <comment ref="L70" authorId="39" shapeId="0" xr:uid="{F038EBC5-6C00-4061-91EE-411A15D11876}">
      <text>
        <t>[Threaded comment]
Your version of Excel allows you to read this threaded comment; however, any edits to it will get removed if the file is opened in a newer version of Excel. Learn more: https://go.microsoft.com/fwlink/?linkid=870924
Comment:
    Added values from type 72, medical office</t>
      </text>
    </comment>
    <comment ref="M70" authorId="40" shapeId="0" xr:uid="{4133F171-1323-4C81-ACB5-25431E832094}">
      <text>
        <t>[Threaded comment]
Your version of Excel allows you to read this threaded comment; however, any edits to it will get removed if the file is opened in a newer version of Excel. Learn more: https://go.microsoft.com/fwlink/?linkid=870924
Comment:
    Added values from type 72, medical office</t>
      </text>
    </comment>
    <comment ref="F95" authorId="41" shapeId="0" xr:uid="{EEE5973A-FCEF-40E8-AE0D-05EA4563CCE8}">
      <text>
        <t>[Threaded comment]
Your version of Excel allows you to read this threaded comment; however, any edits to it will get removed if the file is opened in a newer version of Excel. Learn more: https://go.microsoft.com/fwlink/?linkid=870924
Comment:
    Added values for type 92, other retail</t>
      </text>
    </comment>
    <comment ref="G95" authorId="42" shapeId="0" xr:uid="{A3137A69-1257-4F63-8FFB-D0C5FBF568B3}">
      <text>
        <t>[Threaded comment]
Your version of Excel allows you to read this threaded comment; however, any edits to it will get removed if the file is opened in a newer version of Excel. Learn more: https://go.microsoft.com/fwlink/?linkid=870924
Comment:
    Added values for type 92, other retail</t>
      </text>
    </comment>
    <comment ref="H95" authorId="43" shapeId="0" xr:uid="{CE1858C2-E56F-4C82-9C2A-46A87DEAB494}">
      <text>
        <t>[Threaded comment]
Your version of Excel allows you to read this threaded comment; however, any edits to it will get removed if the file is opened in a newer version of Excel. Learn more: https://go.microsoft.com/fwlink/?linkid=870924
Comment:
    Added values for type 92, other retail</t>
      </text>
    </comment>
    <comment ref="I95" authorId="44" shapeId="0" xr:uid="{333C6FBB-E811-4C68-A2B4-F5F57443D3CE}">
      <text>
        <t>[Threaded comment]
Your version of Excel allows you to read this threaded comment; however, any edits to it will get removed if the file is opened in a newer version of Excel. Learn more: https://go.microsoft.com/fwlink/?linkid=870924
Comment:
    Added values for type 92, other retail</t>
      </text>
    </comment>
    <comment ref="J95" authorId="45" shapeId="0" xr:uid="{524B3F53-C523-4F48-8255-CF2323D4DFD4}">
      <text>
        <t>[Threaded comment]
Your version of Excel allows you to read this threaded comment; however, any edits to it will get removed if the file is opened in a newer version of Excel. Learn more: https://go.microsoft.com/fwlink/?linkid=870924
Comment:
    Added values for type 92, other retail</t>
      </text>
    </comment>
    <comment ref="K95" authorId="46" shapeId="0" xr:uid="{1689B497-0060-40BE-996E-3972DDE0BF81}">
      <text>
        <t>[Threaded comment]
Your version of Excel allows you to read this threaded comment; however, any edits to it will get removed if the file is opened in a newer version of Excel. Learn more: https://go.microsoft.com/fwlink/?linkid=870924
Comment:
    Added values for type 92, other retail</t>
      </text>
    </comment>
    <comment ref="L95" authorId="47" shapeId="0" xr:uid="{2BF51134-AE13-4170-9510-2749FEC3CB1C}">
      <text>
        <t>[Threaded comment]
Your version of Excel allows you to read this threaded comment; however, any edits to it will get removed if the file is opened in a newer version of Excel. Learn more: https://go.microsoft.com/fwlink/?linkid=870924
Comment:
    Added values for type 92, other retail</t>
      </text>
    </comment>
    <comment ref="M95" authorId="48" shapeId="0" xr:uid="{6110E8B9-3CD9-4948-9E96-DDD66D9697F6}">
      <text>
        <t>[Threaded comment]
Your version of Excel allows you to read this threaded comment; however, any edits to it will get removed if the file is opened in a newer version of Excel. Learn more: https://go.microsoft.com/fwlink/?linkid=870924
Comment:
    Added values for type 92, other retail</t>
      </text>
    </comment>
    <comment ref="O97" authorId="49" shapeId="0" xr:uid="{6CB676B3-57D1-4929-A770-F4732841CE5C}">
      <text>
        <t>[Threaded comment]
Your version of Excel allows you to read this threaded comment; however, any edits to it will get removed if the file is opened in a newer version of Excel. Learn more: https://go.microsoft.com/fwlink/?linkid=870924
Comment:
    Added note 6 to make this a mixed use type and call for reapportionment</t>
      </text>
    </comment>
    <comment ref="F101" authorId="50" shapeId="0" xr:uid="{0BDA3C18-49F8-4D6D-8EE1-ABD4F47F1657}">
      <text>
        <t>[Threaded comment]
Your version of Excel allows you to read this threaded comment; however, any edits to it will get removed if the file is opened in a newer version of Excel. Learn more: https://go.microsoft.com/fwlink/?linkid=870924
Comment:
    Changed this to zero, mixed use building</t>
      </text>
    </comment>
    <comment ref="G101" authorId="51" shapeId="0" xr:uid="{44D57893-44B3-4D73-8045-1FE27A09A3BB}">
      <text>
        <t>[Threaded comment]
Your version of Excel allows you to read this threaded comment; however, any edits to it will get removed if the file is opened in a newer version of Excel. Learn more: https://go.microsoft.com/fwlink/?linkid=870924
Comment:
    Changed this to zero, mixed use building</t>
      </text>
    </comment>
    <comment ref="O101" authorId="52" shapeId="0" xr:uid="{1FB87723-B345-4101-ADD5-31422A73EE37}">
      <text>
        <t>[Threaded comment]
Your version of Excel allows you to read this threaded comment; however, any edits to it will get removed if the file is opened in a newer version of Excel. Learn more: https://go.microsoft.com/fwlink/?linkid=870924
Comment:
    Added note 6 to call for mixed-use reapportionment</t>
      </text>
    </comment>
    <comment ref="R103" authorId="53" shapeId="0" xr:uid="{EFE33A37-63DD-4BE5-A503-F2671A4CA8D5}">
      <text>
        <t>[Threaded comment]
Your version of Excel allows you to read this threaded comment; however, any edits to it will get removed if the file is opened in a newer version of Excel. Learn more: https://go.microsoft.com/fwlink/?linkid=870924
Comment:
    Added this note because it’s a laboratory space</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<sst xmlns="http://schemas.openxmlformats.org/spreadsheetml/2006/main" count="853" uniqueCount="571">
  <si>
    <t>V5 - more entry rows; cleaner tier determination logic; nontarget submetering Y/N fix; Grouped Buildings</t>
  </si>
  <si>
    <t>DEFINITIONS</t>
  </si>
  <si>
    <t>characterizations added, data center qualifications added; no EUIt if errors are found, accessibility fixes.</t>
  </si>
  <si>
    <r>
      <rPr>
        <b/>
        <sz val="11"/>
        <color theme="1"/>
        <rFont val="Aptos Narrow"/>
        <family val="2"/>
        <scheme val="minor"/>
      </rPr>
      <t>UBID:</t>
    </r>
    <r>
      <rPr>
        <sz val="11"/>
        <color theme="1"/>
        <rFont val="Aptos Narrow"/>
        <family val="2"/>
        <scheme val="minor"/>
      </rPr>
      <t xml:space="preserve"> unique building identifier</t>
    </r>
  </si>
  <si>
    <t xml:space="preserve">Please click this link before reporting to check for updated versions of this tool on the OR BPS website. </t>
  </si>
  <si>
    <r>
      <rPr>
        <b/>
        <sz val="11"/>
        <color theme="1"/>
        <rFont val="Aptos Narrow"/>
        <family val="2"/>
        <scheme val="minor"/>
      </rPr>
      <t>GFA:</t>
    </r>
    <r>
      <rPr>
        <sz val="11"/>
        <color theme="1"/>
        <rFont val="Aptos Narrow"/>
        <family val="2"/>
        <scheme val="minor"/>
      </rPr>
      <t xml:space="preserve"> gross floor area, measured from exterior surfaces of fixed enclosing walls, does not include outdoor bays, exterior spaces, covered</t>
    </r>
  </si>
  <si>
    <t xml:space="preserve">      walkways,open roofed-over areas, courts, porches, terraces, steps, roof overhangs, balconies,decks, patios, driveways, parking garages,</t>
  </si>
  <si>
    <t xml:space="preserve">      or surface parking; also see notes on EUIt Sheet about areas to include for each activity type</t>
  </si>
  <si>
    <r>
      <rPr>
        <b/>
        <sz val="11"/>
        <color theme="1"/>
        <rFont val="Aptos Narrow"/>
        <family val="2"/>
        <scheme val="minor"/>
      </rPr>
      <t>ESPM:</t>
    </r>
    <r>
      <rPr>
        <sz val="11"/>
        <color theme="1"/>
        <rFont val="Aptos Narrow"/>
        <family val="2"/>
        <scheme val="minor"/>
      </rPr>
      <t xml:space="preserve"> Energy Star Portfolio Manager, online software for tracking building energy use</t>
    </r>
  </si>
  <si>
    <t>Submit QP/QEM qualifications prior to making calculations via this form:</t>
  </si>
  <si>
    <r>
      <rPr>
        <b/>
        <sz val="11"/>
        <color theme="1"/>
        <rFont val="Aptos Narrow"/>
        <family val="2"/>
        <scheme val="minor"/>
      </rPr>
      <t>EUIt:</t>
    </r>
    <r>
      <rPr>
        <sz val="11"/>
        <color theme="1"/>
        <rFont val="Aptos Narrow"/>
        <family val="2"/>
        <scheme val="minor"/>
      </rPr>
      <t xml:space="preserve"> energy use intensity target, the EUI value in kBtu/SF to stay below, varies based on building activity type and weekly operating hours</t>
    </r>
  </si>
  <si>
    <r>
      <rPr>
        <b/>
        <sz val="11"/>
        <color theme="4"/>
        <rFont val="Aptos Narrow"/>
        <family val="2"/>
        <scheme val="minor"/>
      </rPr>
      <t xml:space="preserve">     </t>
    </r>
    <r>
      <rPr>
        <b/>
        <u/>
        <sz val="11"/>
        <color theme="4"/>
        <rFont val="Aptos Narrow"/>
        <family val="2"/>
        <scheme val="minor"/>
      </rPr>
      <t>Form Q: Energy Professional Qualifications</t>
    </r>
  </si>
  <si>
    <r>
      <rPr>
        <b/>
        <sz val="11"/>
        <color theme="1"/>
        <rFont val="Aptos Narrow"/>
        <family val="2"/>
        <scheme val="minor"/>
      </rPr>
      <t>Weekly Hours:</t>
    </r>
    <r>
      <rPr>
        <sz val="11"/>
        <color theme="1"/>
        <rFont val="Aptos Narrow"/>
        <family val="2"/>
        <scheme val="minor"/>
      </rPr>
      <t xml:space="preserve"> total hours per week where the majority of workers are present, add the hours for two or more shifts of workers; do not include</t>
    </r>
  </si>
  <si>
    <t>Also see the following guidance documents for more information:</t>
  </si>
  <si>
    <t xml:space="preserve">     hours when occupied only by maintenance, security, cleaning crew, or other support personnel; also see notes on EUIt Sheet about hours</t>
  </si>
  <si>
    <r>
      <rPr>
        <b/>
        <sz val="11"/>
        <color theme="4"/>
        <rFont val="Aptos Narrow"/>
        <family val="2"/>
        <scheme val="minor"/>
      </rPr>
      <t xml:space="preserve">     </t>
    </r>
    <r>
      <rPr>
        <b/>
        <u/>
        <sz val="11"/>
        <color theme="4"/>
        <rFont val="Aptos Narrow"/>
        <family val="2"/>
        <scheme val="minor"/>
      </rPr>
      <t>BPS 003 - Finding Energy Use Intensity Target</t>
    </r>
  </si>
  <si>
    <t xml:space="preserve">     to include for each activity type</t>
  </si>
  <si>
    <r>
      <rPr>
        <b/>
        <sz val="11"/>
        <color theme="4"/>
        <rFont val="Aptos Narrow"/>
        <family val="2"/>
        <scheme val="minor"/>
      </rPr>
      <t xml:space="preserve">     </t>
    </r>
    <r>
      <rPr>
        <b/>
        <u/>
        <sz val="11"/>
        <color theme="4"/>
        <rFont val="Aptos Narrow"/>
        <family val="2"/>
        <scheme val="minor"/>
      </rPr>
      <t>BPS 006 - Energy Professionals</t>
    </r>
  </si>
  <si>
    <r>
      <rPr>
        <b/>
        <sz val="11"/>
        <color theme="1"/>
        <rFont val="Aptos Narrow"/>
        <family val="2"/>
        <scheme val="minor"/>
      </rPr>
      <t>Operating Factor:</t>
    </r>
    <r>
      <rPr>
        <sz val="11"/>
        <color theme="1"/>
        <rFont val="Aptos Narrow"/>
        <family val="2"/>
        <scheme val="minor"/>
      </rPr>
      <t xml:space="preserve"> (aka Shift Normalization Factor) multiplier on EUIt, varies based on building activity type and weekly operating hours</t>
    </r>
  </si>
  <si>
    <r>
      <rPr>
        <b/>
        <sz val="11"/>
        <color theme="4"/>
        <rFont val="Aptos Narrow"/>
        <family val="2"/>
        <scheme val="minor"/>
      </rPr>
      <t xml:space="preserve">     </t>
    </r>
    <r>
      <rPr>
        <b/>
        <u/>
        <sz val="11"/>
        <color theme="4"/>
        <rFont val="Aptos Narrow"/>
        <family val="2"/>
        <scheme val="minor"/>
      </rPr>
      <t>BPS 009 - Grouped Buildings</t>
    </r>
  </si>
  <si>
    <r>
      <rPr>
        <b/>
        <sz val="11"/>
        <color theme="1"/>
        <rFont val="Aptos Narrow"/>
        <family val="2"/>
        <scheme val="minor"/>
      </rPr>
      <t>Grouped Buildings:</t>
    </r>
    <r>
      <rPr>
        <sz val="11"/>
        <color theme="1"/>
        <rFont val="Aptos Narrow"/>
        <family val="2"/>
        <scheme val="minor"/>
      </rPr>
      <t xml:space="preserve"> set of Tier 1 and/or Tier 2 buildings that comply at the connected or campus-level, or that comply at the complex level</t>
    </r>
  </si>
  <si>
    <t xml:space="preserve">     and have a single shared primary function, along with any other connected buildings that are not covered buildings. </t>
  </si>
  <si>
    <t xml:space="preserve">Disclaimer: This tool is provided "as-is" to be used for estimating the energy use intensity target of Oregon buildings. </t>
  </si>
  <si>
    <r>
      <rPr>
        <b/>
        <sz val="11"/>
        <color theme="1"/>
        <rFont val="Aptos Narrow"/>
        <family val="2"/>
        <scheme val="minor"/>
      </rPr>
      <t>Complex:</t>
    </r>
    <r>
      <rPr>
        <sz val="11"/>
        <color theme="1"/>
        <rFont val="Aptos Narrow"/>
        <family val="2"/>
        <scheme val="minor"/>
      </rPr>
      <t xml:space="preserve"> a group of individual or connected buildings on contiguous property</t>
    </r>
  </si>
  <si>
    <t xml:space="preserve">     ODOE is not liable for any misrepresentation of input or manipulation of calculations by the users of this tool. </t>
  </si>
  <si>
    <r>
      <rPr>
        <b/>
        <sz val="11"/>
        <color theme="1"/>
        <rFont val="Aptos Narrow"/>
        <family val="2"/>
        <scheme val="minor"/>
      </rPr>
      <t>Connected Buildings:</t>
    </r>
    <r>
      <rPr>
        <sz val="11"/>
        <color theme="1"/>
        <rFont val="Aptos Narrow"/>
        <family val="2"/>
        <scheme val="minor"/>
      </rPr>
      <t xml:space="preserve"> buildings with shared energy meter(s) on contiguous property</t>
    </r>
  </si>
  <si>
    <t xml:space="preserve">     ODOE has made this tool as accessible as possible while allowing its underlying functionality. </t>
  </si>
  <si>
    <r>
      <rPr>
        <b/>
        <sz val="11"/>
        <color theme="1"/>
        <rFont val="Aptos Narrow"/>
        <family val="2"/>
        <scheme val="minor"/>
      </rPr>
      <t>Contiguous Property:</t>
    </r>
    <r>
      <rPr>
        <sz val="11"/>
        <color theme="1"/>
        <rFont val="Aptos Narrow"/>
        <family val="2"/>
        <scheme val="minor"/>
      </rPr>
      <t xml:space="preserve"> adjoining property sharing a common border under sole ownership</t>
    </r>
  </si>
  <si>
    <t>For help using this tool, please email OregonBPS@energy.oregon.gov</t>
  </si>
  <si>
    <r>
      <rPr>
        <b/>
        <sz val="11"/>
        <color theme="1"/>
        <rFont val="Aptos Narrow"/>
        <family val="2"/>
        <scheme val="minor"/>
      </rPr>
      <t>Campus:</t>
    </r>
    <r>
      <rPr>
        <sz val="11"/>
        <color theme="1"/>
        <rFont val="Aptos Narrow"/>
        <family val="2"/>
        <scheme val="minor"/>
      </rPr>
      <t xml:space="preserve"> a collection of buildings served by the same district heating, cooling, water or power system under the same owner</t>
    </r>
  </si>
  <si>
    <t>INSTRUCTIONS</t>
  </si>
  <si>
    <t>INPUT added to yellow cells (G1-J1, C2-C9, B11-F71, other cells open when needed)</t>
  </si>
  <si>
    <t>CALCULATED values in blue cells (D4-F4, G4-J9, G11-I71)</t>
  </si>
  <si>
    <t>INFORMATION in green cells (K11-M71)</t>
  </si>
  <si>
    <t>Step 0.</t>
  </si>
  <si>
    <r>
      <rPr>
        <sz val="11"/>
        <color rgb="FF000000"/>
        <rFont val="Aptos Narrow"/>
      </rPr>
      <t xml:space="preserve">In upper left, input energy professional name and then qualification type (QEM, QP, or QEA) using the dropdown menu.
If a QEM qualification type is listed but the building is Tier 1, </t>
    </r>
    <r>
      <rPr>
        <b/>
        <sz val="11"/>
        <color rgb="FFE97132"/>
        <rFont val="Aptos Narrow"/>
      </rPr>
      <t>QEM is displayed in bold &amp; orange as an error and no EUIt is found.</t>
    </r>
  </si>
  <si>
    <r>
      <t xml:space="preserve">Building </t>
    </r>
    <r>
      <rPr>
        <sz val="11"/>
        <color theme="1"/>
        <rFont val="Aptos Narrow"/>
        <family val="2"/>
        <scheme val="minor"/>
      </rPr>
      <t>or</t>
    </r>
    <r>
      <rPr>
        <b/>
        <sz val="11"/>
        <color theme="1"/>
        <rFont val="Aptos Narrow"/>
        <family val="2"/>
        <scheme val="minor"/>
      </rPr>
      <t xml:space="preserve"> Group EUI Target </t>
    </r>
  </si>
  <si>
    <t xml:space="preserve">Overall energy use intensity target for the building is the main output from this tool. It is calculated using an area- and time-weighted average of Area or Building EUIt from column I, GFA from column D, and Months per Year from column F. May display as "No Target" if the building has a signficant amount of nontarget space. </t>
  </si>
  <si>
    <t xml:space="preserve">As building activity types are selected in column C, information is displayed for each activity type's definition, along with guidance for determining floor area and weekly operating hours. </t>
  </si>
  <si>
    <t>Step 1.</t>
  </si>
  <si>
    <r>
      <t xml:space="preserve">Choose whether this calculation is being made for a </t>
    </r>
    <r>
      <rPr>
        <b/>
        <sz val="11"/>
        <color theme="1"/>
        <rFont val="Aptos Narrow"/>
        <family val="2"/>
        <scheme val="minor"/>
      </rPr>
      <t>Single Building</t>
    </r>
    <r>
      <rPr>
        <sz val="11"/>
        <color theme="1"/>
        <rFont val="Aptos Narrow"/>
        <family val="2"/>
        <scheme val="minor"/>
      </rPr>
      <t xml:space="preserve"> or </t>
    </r>
    <r>
      <rPr>
        <b/>
        <sz val="11"/>
        <color theme="1"/>
        <rFont val="Aptos Narrow"/>
        <family val="2"/>
        <scheme val="minor"/>
      </rPr>
      <t>Grouped Buildings</t>
    </r>
    <r>
      <rPr>
        <sz val="11"/>
        <color theme="1"/>
        <rFont val="Aptos Narrow"/>
        <family val="2"/>
        <scheme val="minor"/>
      </rPr>
      <t xml:space="preserve">. Row entries for a single building can be subdivided to separate areas, while grouped buildings can only be subdivided to separate buildings.
If Grouped Buildings are selected, check Yes or No in the yellow boxes that show up to the right that describe the group, used to determine how the buildings are treated to assign their tiers and extend Tier 2 status. At least one of these boxes must be checked Yes for buildings to be Grouped. </t>
    </r>
    <r>
      <rPr>
        <b/>
        <sz val="11"/>
        <color theme="5"/>
        <rFont val="Aptos Narrow"/>
        <family val="2"/>
        <scheme val="minor"/>
      </rPr>
      <t>If both boxes say "No" they display in bold &amp; orange as an error and no EUIt is found.</t>
    </r>
  </si>
  <si>
    <r>
      <t xml:space="preserve">Tier / Size / Compliance Date </t>
    </r>
    <r>
      <rPr>
        <sz val="11"/>
        <color theme="1"/>
        <rFont val="Aptos Narrow"/>
        <family val="2"/>
        <scheme val="minor"/>
      </rPr>
      <t>or</t>
    </r>
    <r>
      <rPr>
        <b/>
        <sz val="11"/>
        <color theme="1"/>
        <rFont val="Aptos Narrow"/>
        <family val="2"/>
        <scheme val="minor"/>
      </rPr>
      <t xml:space="preserve">
Max Tier / Max Size / Compliance Date</t>
    </r>
  </si>
  <si>
    <r>
      <t xml:space="preserve">Tier, size category, and compliance date for a single building (or max tier, max size, and compliance date for a group of buildings) are secondary output values from this tool. 
See </t>
    </r>
    <r>
      <rPr>
        <b/>
        <sz val="11"/>
        <color theme="1"/>
        <rFont val="Aptos Narrow"/>
        <family val="2"/>
        <scheme val="minor"/>
      </rPr>
      <t>Tier Determination Logic</t>
    </r>
    <r>
      <rPr>
        <sz val="11"/>
        <color theme="1"/>
        <rFont val="Aptos Narrow"/>
        <family val="2"/>
        <scheme val="minor"/>
      </rPr>
      <t xml:space="preserve"> below to understand how building and group tiers are assigned. Overall tier, size category, and compliance date for Grouped Buildings  are based on the largest building in the group.</t>
    </r>
  </si>
  <si>
    <r>
      <t xml:space="preserve">Column J: </t>
    </r>
    <r>
      <rPr>
        <b/>
        <sz val="11"/>
        <color theme="1"/>
        <rFont val="Aptos Narrow"/>
        <family val="2"/>
        <scheme val="minor"/>
      </rPr>
      <t>ESPM Building Activity Type Definition</t>
    </r>
  </si>
  <si>
    <t xml:space="preserve">Step 2. </t>
  </si>
  <si>
    <r>
      <t xml:space="preserve">Input building UBID (or UBID for each building of a group of buildings), address (or address for the largest building of the group), </t>
    </r>
    <r>
      <rPr>
        <b/>
        <sz val="11"/>
        <color theme="1"/>
        <rFont val="Aptos Narrow"/>
        <family val="2"/>
        <scheme val="minor"/>
      </rPr>
      <t>county</t>
    </r>
    <r>
      <rPr>
        <sz val="11"/>
        <color theme="1"/>
        <rFont val="Aptos Narrow"/>
        <family val="2"/>
        <scheme val="minor"/>
      </rPr>
      <t xml:space="preserve">, and total gross floor area (GFA) in square feet of the building or group of buildings. GFA should not include any parking garage area.
The tool automatically determines climate zone based on county. </t>
    </r>
  </si>
  <si>
    <t>Climate Zone</t>
  </si>
  <si>
    <t xml:space="preserve">Either 4C (coastal) or 5B (inland), automatically determined based on county. </t>
  </si>
  <si>
    <r>
      <t xml:space="preserve">Column K: </t>
    </r>
    <r>
      <rPr>
        <b/>
        <sz val="11"/>
        <color theme="1"/>
        <rFont val="Aptos Narrow"/>
        <family val="2"/>
        <scheme val="minor"/>
      </rPr>
      <t>Notes on Gross Floor Area</t>
    </r>
  </si>
  <si>
    <t>Step 3.</t>
  </si>
  <si>
    <r>
      <t>In column B, enter a distinct area or building name in the first empty row. (Numbers are added automatically in column A to track each distinct space.)
In column C, use the drop-down menu to enter activity type for the row's area or building. Activity types can be typed in to narrow down the list of potential entries. Columns J, K &amp; L display notes about each activity type after entry. (If notes don't display fully, enter the same activity type a second time to reset row height.)
In column D, enter the gross floor area (GFA) in square feet for that row's area or building. GFA should not include any parking garage area.
In column E, enter the weekly operating hours for that row's area or building, with a maximum value of 168. B23There are different operating factors for 0-50, 51-167, and 168 weekly hours for each activity type.
In column F, enter how many months a year this row's area or building has this activity type and weekly operating hours. In most cases, areas or buildi</t>
    </r>
    <r>
      <rPr>
        <sz val="11"/>
        <rFont val="Aptos Narrow"/>
        <family val="2"/>
        <scheme val="minor"/>
      </rPr>
      <t>ngs function the same way all year so the maximum value of 12 is entered. If hours are not entered,</t>
    </r>
    <r>
      <rPr>
        <b/>
        <sz val="11"/>
        <color theme="5"/>
        <rFont val="Aptos Narrow"/>
        <family val="2"/>
        <scheme val="minor"/>
      </rPr>
      <t xml:space="preserve"> "enter hours" shows up in bold &amp; orange as an error and no EUIt is found</t>
    </r>
    <r>
      <rPr>
        <b/>
        <sz val="11"/>
        <color rgb="FFC00000"/>
        <rFont val="Aptos Narrow"/>
        <family val="2"/>
        <scheme val="minor"/>
      </rPr>
      <t>.</t>
    </r>
    <r>
      <rPr>
        <sz val="11"/>
        <color theme="1"/>
        <rFont val="Aptos Narrow"/>
        <family val="2"/>
        <scheme val="minor"/>
      </rPr>
      <t xml:space="preserve"> 
</t>
    </r>
    <r>
      <rPr>
        <sz val="11"/>
        <rFont val="Aptos Narrow"/>
        <family val="2"/>
        <scheme val="minor"/>
      </rPr>
      <t xml:space="preserve">If GFA and months per year for each row don't combine to the GFA in cell C9, </t>
    </r>
    <r>
      <rPr>
        <b/>
        <sz val="11"/>
        <color theme="5"/>
        <rFont val="Aptos Narrow"/>
        <family val="2"/>
        <scheme val="minor"/>
      </rPr>
      <t>GFA check displays in bold and orange, a bold orange error message is displayed in cell G9, and no EUIt is found.</t>
    </r>
    <r>
      <rPr>
        <b/>
        <sz val="11"/>
        <color rgb="FFC00000"/>
        <rFont val="Aptos Narrow"/>
        <family val="2"/>
        <scheme val="minor"/>
      </rPr>
      <t xml:space="preserve"> </t>
    </r>
  </si>
  <si>
    <t>Nontarget Area</t>
  </si>
  <si>
    <t>The percentage of nontarget area is calculated from the total area of any nontarget building activity types divided by the total GFA, also accounting for months per year.
If nontarget area is less than 10%, it need not be included as a separate row entry for the building or group of buildings. 
If nontarget area is above 50%, the entire building or group of buildings is considered nontarget and no EUI Target is calculated.
If nontarget area is between 10% and 50%, a yellow box becomes visible, with a dropdown for entering whether the nontarget areas are separately metered.
A message displays with information about the how nontarget areas affect EUI target and OR BPS compliance requirement.</t>
  </si>
  <si>
    <r>
      <t xml:space="preserve">Column L: </t>
    </r>
    <r>
      <rPr>
        <b/>
        <sz val="11"/>
        <color theme="1"/>
        <rFont val="Aptos Narrow"/>
        <family val="2"/>
        <scheme val="minor"/>
      </rPr>
      <t>Notes on Weekly Operating Hours</t>
    </r>
  </si>
  <si>
    <t xml:space="preserve">Step 4. </t>
  </si>
  <si>
    <r>
      <t xml:space="preserve">If an area or building has a different activity type and/or number of weekly operating hours over part of the year (a number less than 12 is in column F), enter the exact same area or building name again in column B of the </t>
    </r>
    <r>
      <rPr>
        <b/>
        <sz val="11"/>
        <color theme="1"/>
        <rFont val="Aptos Narrow"/>
        <family val="2"/>
        <scheme val="minor"/>
      </rPr>
      <t>next consecutive row.</t>
    </r>
    <r>
      <rPr>
        <sz val="11"/>
        <color theme="1"/>
        <rFont val="Aptos Narrow"/>
        <family val="2"/>
        <scheme val="minor"/>
      </rPr>
      <t xml:space="preserve">
In column C, enter the same square footage for this area or building from the row above.
Enter any different activity type and+B23/or weekly operating hours for this area or building in columns D and E.
In column F, enter how many months a year this area or building has this row's activity type and/or weekly operating hours. The total months from each row with the same area or building name should add up to 12. 
</t>
    </r>
    <r>
      <rPr>
        <sz val="11"/>
        <rFont val="Aptos Narrow"/>
        <family val="2"/>
        <scheme val="minor"/>
      </rPr>
      <t xml:space="preserve">If months don't add up to 12 for any area or building name, </t>
    </r>
    <r>
      <rPr>
        <b/>
        <sz val="11"/>
        <color theme="5"/>
        <rFont val="Aptos Narrow"/>
        <family val="2"/>
        <scheme val="minor"/>
      </rPr>
      <t>the number of months displays in bold &amp; orange as an error and no EUIt is found.</t>
    </r>
    <r>
      <rPr>
        <sz val="11"/>
        <color theme="1"/>
        <rFont val="Aptos Narrow"/>
        <family val="2"/>
        <scheme val="minor"/>
      </rPr>
      <t xml:space="preserve">
Do not use additional line entries for schools unless they host B25some activity other than summer school during break periods.</t>
    </r>
  </si>
  <si>
    <t>Vacant Area</t>
  </si>
  <si>
    <t>The percentage of vacant area is calculated from the total area of any vacant activity types divided by the total GFA, also accounting for months per year.
Vacant area is only entered as an activity type if the vacant space uses no heating and cooling. Otherwise, use the activity type of the previous occupant.
If vacant area is 50% or more of total GFA, the building or group of buildings may apply for an exemption.
A message displays with information about how vacant areas affect EUI target and OR BPS compliance requirements.</t>
  </si>
  <si>
    <t xml:space="preserve">Step 5. </t>
  </si>
  <si>
    <t xml:space="preserve">Repeat Step 3 and Step 4  as needed for additional areas of a single building or for additional buildings in a group. There are rows for up to 21 different area or building entries. </t>
  </si>
  <si>
    <t>GFA Check</t>
  </si>
  <si>
    <r>
      <t>Total GFA values from each row entry in column D. This value should equal the Building or Group GFA in cell C8.</t>
    </r>
    <r>
      <rPr>
        <sz val="11"/>
        <color theme="5"/>
        <rFont val="Aptos Narrow"/>
        <family val="2"/>
        <scheme val="minor"/>
      </rPr>
      <t xml:space="preserve"> </t>
    </r>
    <r>
      <rPr>
        <b/>
        <sz val="11"/>
        <color theme="5"/>
        <rFont val="Aptos Narrow"/>
        <family val="2"/>
        <scheme val="minor"/>
      </rPr>
      <t>If not, this displays in bold &amp; orange as an error and no EUIt is found.</t>
    </r>
  </si>
  <si>
    <t>Step 6.</t>
  </si>
  <si>
    <t xml:space="preserve">If nontarget areas are between 10% and 50% of total GFA, cell F6 displays as a yellow box. Use the drop-down menu to indicate whether the nontarget areas have separate energy metering.
</t>
  </si>
  <si>
    <t>#</t>
  </si>
  <si>
    <t>Column A, area or building numbers are assigned automatically and consecutively for each new area or building name entered in column B.</t>
  </si>
  <si>
    <t xml:space="preserve">If the nontarget area is a data center of activity type 100, a yellow box displays in cell F7 for its power draw. Data center kW can be found by dividing a continuous year's worth of metered electricity kWh (logged in ESPM) by 8,760 hours. </t>
  </si>
  <si>
    <t>EUIt</t>
  </si>
  <si>
    <t>Column G, target energy use intensity value based on building activity type in column C and climate zone in cell C7 of that row.</t>
  </si>
  <si>
    <r>
      <t xml:space="preserve">To be a qualifying data center, continuous metering must measure all IT energy use including the UPS, and can also include any dedicated cooling or lighting energy use. If Data center kW power draw is not at least 75 kW, </t>
    </r>
    <r>
      <rPr>
        <b/>
        <sz val="11"/>
        <color theme="5"/>
        <rFont val="Aptos Narrow"/>
        <family val="2"/>
        <scheme val="minor"/>
      </rPr>
      <t>an error displays in bold &amp; orange says it is not a qualified data center and to use a different activity type.</t>
    </r>
  </si>
  <si>
    <t>Operating Factor</t>
  </si>
  <si>
    <t>Column H, operating value based on building activity type in column C and weekly operating hours in column E for that row.  There are different values for operating hours of &lt; 50 hours, 50-167 hours, and 168 hours.</t>
  </si>
  <si>
    <r>
      <t xml:space="preserve">Area </t>
    </r>
    <r>
      <rPr>
        <sz val="11"/>
        <color theme="1"/>
        <rFont val="Aptos Narrow"/>
        <family val="2"/>
        <scheme val="minor"/>
      </rPr>
      <t>or</t>
    </r>
    <r>
      <rPr>
        <b/>
        <sz val="11"/>
        <color theme="1"/>
        <rFont val="Aptos Narrow"/>
        <family val="2"/>
        <scheme val="minor"/>
      </rPr>
      <t xml:space="preserve"> Building EUIt</t>
    </r>
  </si>
  <si>
    <t xml:space="preserve">Column I, EUIt times Operating Factor for each row entry. Area EUIt displays for a Single Building, Building EUIt for Grouped Buildings. </t>
  </si>
  <si>
    <r>
      <t xml:space="preserve">Area </t>
    </r>
    <r>
      <rPr>
        <sz val="11"/>
        <color theme="1"/>
        <rFont val="Aptos Narrow"/>
        <family val="2"/>
        <scheme val="minor"/>
      </rPr>
      <t>or</t>
    </r>
    <r>
      <rPr>
        <b/>
        <sz val="11"/>
        <color theme="1"/>
        <rFont val="Aptos Narrow"/>
        <family val="2"/>
        <scheme val="minor"/>
      </rPr>
      <t xml:space="preserve"> Building Tier</t>
    </r>
  </si>
  <si>
    <t xml:space="preserve">Column J, tier assignment (Tier 1, Tier 2, Special Tier 2, or below threshold). For a Single Building the Area Tier is the same value for each area/row. For Grouped Buildings, the Building Tier may differ for each building/row. Below threshold means that building's GFA is too small to meet a tier classification, but its still in the set of Grouped Buildings due to shared metering. </t>
  </si>
  <si>
    <t>TIER Determination Logic (Tier / Compliance Date)</t>
  </si>
  <si>
    <t>For a Single Building</t>
  </si>
  <si>
    <t>For Grouped Buildings</t>
  </si>
  <si>
    <t>Areas are designated as Regular (Hotel, Motel, NonResidential not including Parking or Special) or Special</t>
  </si>
  <si>
    <t>Buildings are designated as Regular (Hotel, Motel, NonResidential not including Special) or Special</t>
  </si>
  <si>
    <t>(Multifamily, School, Hospital, University, Dormitory, Prison, Barracks, Residential Care, Senior Care)</t>
  </si>
  <si>
    <t>Regulat GFA + Special GFA = Building GFA</t>
  </si>
  <si>
    <t>Regular GFA + Special GFA = Group GFA</t>
  </si>
  <si>
    <r>
      <t xml:space="preserve">IF Building GFA &lt; 35,000 SF AND Regular GFA &lt; 20,000 SF THEN </t>
    </r>
    <r>
      <rPr>
        <b/>
        <sz val="11"/>
        <color theme="1"/>
        <rFont val="Aptos Narrow"/>
        <family val="2"/>
        <scheme val="minor"/>
      </rPr>
      <t>Not Covered</t>
    </r>
  </si>
  <si>
    <r>
      <t xml:space="preserve">IF building Regular GFA &lt; 20,000 SF THEN that building is </t>
    </r>
    <r>
      <rPr>
        <b/>
        <sz val="11"/>
        <color theme="1"/>
        <rFont val="Aptos Narrow"/>
        <family val="2"/>
        <scheme val="minor"/>
      </rPr>
      <t>Not Covered</t>
    </r>
    <r>
      <rPr>
        <sz val="11"/>
        <color theme="1"/>
        <rFont val="Aptos Narrow"/>
        <family val="2"/>
        <scheme val="minor"/>
      </rPr>
      <t xml:space="preserve"> (only included if it shares metering wiith other group buildings)</t>
    </r>
  </si>
  <si>
    <t>IF Building GFA &gt;= 35,000 SF AND</t>
  </si>
  <si>
    <r>
      <t>IF building Regular GFA &gt;= 20,000 SF AND &lt; 35,000 SF THEN that building is</t>
    </r>
    <r>
      <rPr>
        <b/>
        <sz val="11"/>
        <color theme="1"/>
        <rFont val="Aptos Narrow"/>
        <family val="2"/>
        <scheme val="minor"/>
      </rPr>
      <t xml:space="preserve"> Regular Tier 2</t>
    </r>
  </si>
  <si>
    <r>
      <t xml:space="preserve">               IF Regular GFA &lt; 20,000 SF AND Special GFA &gt;= 15,000 SF THEN</t>
    </r>
    <r>
      <rPr>
        <b/>
        <sz val="11"/>
        <color theme="1"/>
        <rFont val="Aptos Narrow"/>
        <family val="2"/>
        <scheme val="minor"/>
      </rPr>
      <t xml:space="preserve"> Special Tier 2 / July 1, 2028</t>
    </r>
  </si>
  <si>
    <r>
      <t>IF building Regular GFA &gt;= 35,000 SF THEN that building is</t>
    </r>
    <r>
      <rPr>
        <b/>
        <sz val="11"/>
        <color theme="1"/>
        <rFont val="Aptos Narrow"/>
        <family val="2"/>
        <scheme val="minor"/>
      </rPr>
      <t xml:space="preserve"> Tier 1</t>
    </r>
  </si>
  <si>
    <r>
      <t xml:space="preserve">               IF Regular GFA &gt;= 20,000 SF AND Special GFA &gt;= Regular GFA THEN</t>
    </r>
    <r>
      <rPr>
        <b/>
        <sz val="11"/>
        <color theme="1"/>
        <rFont val="Aptos Narrow"/>
        <family val="2"/>
        <scheme val="minor"/>
      </rPr>
      <t xml:space="preserve"> Special Tier 2 / July 1, 2028</t>
    </r>
  </si>
  <si>
    <r>
      <t>IF largest Regular GFA of any building &gt;= 200,000 SF THEN group compliance date is</t>
    </r>
    <r>
      <rPr>
        <b/>
        <sz val="11"/>
        <color theme="1"/>
        <rFont val="Aptos Narrow"/>
        <family val="2"/>
        <scheme val="minor"/>
      </rPr>
      <t xml:space="preserve"> June 1, 2028</t>
    </r>
  </si>
  <si>
    <t>IF Regular GFA &gt; Special GFA (less than half of Building is Special)</t>
  </si>
  <si>
    <r>
      <t xml:space="preserve">IF largest Regular GFA of any building &gt;= 90,000 SF and &lt; 200,000 SF THEN group compliance date is </t>
    </r>
    <r>
      <rPr>
        <b/>
        <sz val="11"/>
        <color theme="1"/>
        <rFont val="Aptos Narrow"/>
        <family val="2"/>
        <scheme val="minor"/>
      </rPr>
      <t>June 1, 2029</t>
    </r>
  </si>
  <si>
    <r>
      <t xml:space="preserve">IF Regular GFA &gt;= 200,000 SF, THEN </t>
    </r>
    <r>
      <rPr>
        <b/>
        <sz val="11"/>
        <color theme="1"/>
        <rFont val="Aptos Narrow"/>
        <family val="2"/>
        <scheme val="minor"/>
      </rPr>
      <t>Tier 1 / June 1, 2028</t>
    </r>
  </si>
  <si>
    <r>
      <t>IF largest Regular GFA of any building &gt;= 35,000 SF and &lt; 90,000 SF THEN group compliance date is</t>
    </r>
    <r>
      <rPr>
        <b/>
        <sz val="11"/>
        <color theme="1"/>
        <rFont val="Aptos Narrow"/>
        <family val="2"/>
        <scheme val="minor"/>
      </rPr>
      <t xml:space="preserve"> June 1, 2030</t>
    </r>
  </si>
  <si>
    <r>
      <t xml:space="preserve">IF Regular GFA &gt;= 90,000 SF AND &lt; 200,000 SF, THEN </t>
    </r>
    <r>
      <rPr>
        <b/>
        <sz val="11"/>
        <color theme="1"/>
        <rFont val="Aptos Narrow"/>
        <family val="2"/>
        <scheme val="minor"/>
      </rPr>
      <t>Tier 1 / June 1, 2029</t>
    </r>
  </si>
  <si>
    <r>
      <t xml:space="preserve">IF largest Regular GFA of any building &gt;= 20,000 SF and &lt; 35,000 SF THEN group compliance date is </t>
    </r>
    <r>
      <rPr>
        <b/>
        <sz val="11"/>
        <color theme="1"/>
        <rFont val="Aptos Narrow"/>
        <family val="2"/>
        <scheme val="minor"/>
      </rPr>
      <t>July 1, 2028</t>
    </r>
  </si>
  <si>
    <r>
      <t xml:space="preserve">IF Regular GFA &gt;= 35,000 SF AND &lt; 90,000 SF, THEN </t>
    </r>
    <r>
      <rPr>
        <b/>
        <sz val="11"/>
        <color theme="1"/>
        <rFont val="Aptos Narrow"/>
        <family val="2"/>
        <scheme val="minor"/>
      </rPr>
      <t>Tier 1 / June 1, 2030</t>
    </r>
  </si>
  <si>
    <r>
      <t>IF building Special GFA &gt;= 35,000 SF THEN that building is</t>
    </r>
    <r>
      <rPr>
        <b/>
        <sz val="11"/>
        <color theme="1"/>
        <rFont val="Aptos Narrow"/>
        <family val="2"/>
        <scheme val="minor"/>
      </rPr>
      <t xml:space="preserve"> Special Tier 2</t>
    </r>
  </si>
  <si>
    <r>
      <t xml:space="preserve">IF Regular GFA &gt;= 20,000 SF AND &lt; 35,000 SF, THEN </t>
    </r>
    <r>
      <rPr>
        <b/>
        <sz val="11"/>
        <color theme="1"/>
        <rFont val="Aptos Narrow"/>
        <family val="2"/>
        <scheme val="minor"/>
      </rPr>
      <t>Regular Tier 2 / July 1, 2028</t>
    </r>
  </si>
  <si>
    <r>
      <t xml:space="preserve">IF Special GFA of any building &gt;= 35,000 SF THEN any Tier 1 building becomes Extended </t>
    </r>
    <r>
      <rPr>
        <b/>
        <sz val="11"/>
        <color theme="1"/>
        <rFont val="Aptos Narrow"/>
        <family val="2"/>
        <scheme val="minor"/>
      </rPr>
      <t xml:space="preserve">Tier 2 </t>
    </r>
    <r>
      <rPr>
        <sz val="11"/>
        <color theme="1"/>
        <rFont val="Aptos Narrow"/>
        <family val="2"/>
        <scheme val="minor"/>
      </rPr>
      <t>AND group compliance date becomes</t>
    </r>
    <r>
      <rPr>
        <b/>
        <sz val="11"/>
        <color theme="1"/>
        <rFont val="Aptos Narrow"/>
        <family val="2"/>
        <scheme val="minor"/>
      </rPr>
      <t xml:space="preserve"> July 1, 2028</t>
    </r>
  </si>
  <si>
    <t>TIER DETERMINATION FOR SINGLE, MIXED-USE BUILDINGS</t>
  </si>
  <si>
    <r>
      <rPr>
        <b/>
        <sz val="11"/>
        <color theme="1"/>
        <rFont val="Aptos Narrow"/>
        <family val="2"/>
        <scheme val="minor"/>
      </rPr>
      <t>Special Tier 2</t>
    </r>
    <r>
      <rPr>
        <sz val="11"/>
        <color theme="1"/>
        <rFont val="Aptos Narrow"/>
        <family val="2"/>
        <scheme val="minor"/>
      </rPr>
      <t>: Building GFA &gt;= 35,000 SF and</t>
    </r>
  </si>
  <si>
    <t>(Regular GFA &lt; 20,000 SF and Special GFA &gt;= 15,000 SF)   or</t>
  </si>
  <si>
    <t>(Regular GFA &gt;= 20,000 SF and Special GFA &gt;= Regular GFA)</t>
  </si>
  <si>
    <r>
      <rPr>
        <b/>
        <sz val="11"/>
        <color theme="1"/>
        <rFont val="Aptos Narrow"/>
        <family val="2"/>
        <scheme val="minor"/>
      </rPr>
      <t>July 1, 2028</t>
    </r>
    <r>
      <rPr>
        <sz val="11"/>
        <color theme="1"/>
        <rFont val="Aptos Narrow"/>
        <family val="2"/>
        <scheme val="minor"/>
      </rPr>
      <t xml:space="preserve"> Compliance Date</t>
    </r>
  </si>
  <si>
    <r>
      <rPr>
        <b/>
        <sz val="11"/>
        <color theme="1"/>
        <rFont val="Aptos Narrow"/>
        <family val="2"/>
        <scheme val="minor"/>
      </rPr>
      <t>Regular Tier 2</t>
    </r>
    <r>
      <rPr>
        <sz val="11"/>
        <color theme="1"/>
        <rFont val="Aptos Narrow"/>
        <family val="2"/>
        <scheme val="minor"/>
      </rPr>
      <t>: Regular GFA &gt;= 20,000 SF and &lt; 35,000 SF and</t>
    </r>
  </si>
  <si>
    <t>Regular GFA &gt; Special GFA</t>
  </si>
  <si>
    <r>
      <rPr>
        <b/>
        <sz val="11"/>
        <color theme="1"/>
        <rFont val="Aptos Narrow"/>
        <family val="2"/>
        <scheme val="minor"/>
      </rPr>
      <t>Tier 1</t>
    </r>
    <r>
      <rPr>
        <sz val="11"/>
        <color theme="1"/>
        <rFont val="Aptos Narrow"/>
        <family val="2"/>
        <scheme val="minor"/>
      </rPr>
      <t>: Regular GFA &gt;= 200,000 SF and</t>
    </r>
  </si>
  <si>
    <r>
      <rPr>
        <b/>
        <sz val="11"/>
        <color theme="1"/>
        <rFont val="Aptos Narrow"/>
        <family val="2"/>
        <scheme val="minor"/>
      </rPr>
      <t>June 1, 2028</t>
    </r>
    <r>
      <rPr>
        <sz val="11"/>
        <color theme="1"/>
        <rFont val="Aptos Narrow"/>
        <family val="2"/>
        <scheme val="minor"/>
      </rPr>
      <t xml:space="preserve"> Compliance Date</t>
    </r>
  </si>
  <si>
    <r>
      <rPr>
        <b/>
        <sz val="11"/>
        <color theme="1"/>
        <rFont val="Aptos Narrow"/>
        <family val="2"/>
        <scheme val="minor"/>
      </rPr>
      <t>Tier 1</t>
    </r>
    <r>
      <rPr>
        <sz val="11"/>
        <color theme="1"/>
        <rFont val="Aptos Narrow"/>
        <family val="2"/>
        <scheme val="minor"/>
      </rPr>
      <t>: Regular GFA &gt;= 90,000 SF and &lt; 200,000 SF and</t>
    </r>
  </si>
  <si>
    <r>
      <rPr>
        <b/>
        <sz val="11"/>
        <color theme="1"/>
        <rFont val="Aptos Narrow"/>
        <family val="2"/>
        <scheme val="minor"/>
      </rPr>
      <t>June 1, 2029</t>
    </r>
    <r>
      <rPr>
        <sz val="11"/>
        <color theme="1"/>
        <rFont val="Aptos Narrow"/>
        <family val="2"/>
        <scheme val="minor"/>
      </rPr>
      <t xml:space="preserve"> Compliance Date</t>
    </r>
  </si>
  <si>
    <r>
      <rPr>
        <b/>
        <sz val="11"/>
        <color theme="1"/>
        <rFont val="Aptos Narrow"/>
        <family val="2"/>
        <scheme val="minor"/>
      </rPr>
      <t>Tier 1:</t>
    </r>
    <r>
      <rPr>
        <sz val="11"/>
        <color theme="1"/>
        <rFont val="Aptos Narrow"/>
        <family val="2"/>
        <scheme val="minor"/>
      </rPr>
      <t xml:space="preserve"> Regular GFA &gt;= 35,000 SF and &lt; 90,000 SF and</t>
    </r>
  </si>
  <si>
    <r>
      <rPr>
        <b/>
        <sz val="11"/>
        <color theme="1"/>
        <rFont val="Aptos Narrow"/>
        <family val="2"/>
        <scheme val="minor"/>
      </rPr>
      <t>June 1, 2030</t>
    </r>
    <r>
      <rPr>
        <sz val="11"/>
        <color theme="1"/>
        <rFont val="Aptos Narrow"/>
        <family val="2"/>
        <scheme val="minor"/>
      </rPr>
      <t xml:space="preserve"> Compliance Date</t>
    </r>
  </si>
  <si>
    <t>Not Covered</t>
  </si>
  <si>
    <t>Regular GFA &lt; 20,000 SF and</t>
  </si>
  <si>
    <t>Building GFA &lt; 35,000 SF</t>
  </si>
  <si>
    <t>Regular GFA: hotel, motel &amp; nonresidential areas excluding parking garage and special GFA.</t>
  </si>
  <si>
    <t>Special GFA: multifamily, hospital, school, university, dormitory, barracks, prison, residential care, senior care areas, excluding parking garage.</t>
  </si>
  <si>
    <t>OR BPS ENERGY USE INTENSITY TARGET (EUIt) TOOL</t>
  </si>
  <si>
    <t>Energy Professional &amp; Qualification:</t>
  </si>
  <si>
    <t>Determined for (dropdown):</t>
  </si>
  <si>
    <t>Buildings have same owner &amp; primary function, are on contiguous property:</t>
  </si>
  <si>
    <t>Buildings share meters or district system:</t>
  </si>
  <si>
    <t>County:</t>
  </si>
  <si>
    <t xml:space="preserve">Climate Zone: </t>
  </si>
  <si>
    <t>Activity Type (dropdown)
Select ESPM Number: Type | Subtype | Details</t>
  </si>
  <si>
    <t>Weekly Hours</t>
  </si>
  <si>
    <t>Months per Year</t>
  </si>
  <si>
    <t xml:space="preserve">EUIt </t>
  </si>
  <si>
    <t>Building Tier</t>
  </si>
  <si>
    <t>ESPM Activity Type Definition</t>
  </si>
  <si>
    <t>Notes on Gross Floor Area</t>
  </si>
  <si>
    <t>Notes on Weekly Operating Hours</t>
  </si>
  <si>
    <t>ESPM Designations</t>
  </si>
  <si>
    <t>EUI Target</t>
  </si>
  <si>
    <t>Operating Factors @ weekly hours</t>
  </si>
  <si>
    <t>Single or Grouped</t>
  </si>
  <si>
    <t>Building Tier (single) or Max Tier (grouped)</t>
  </si>
  <si>
    <t>SF basis, sum (single) or max (grouped)</t>
  </si>
  <si>
    <t>Consolidated</t>
  </si>
  <si>
    <t xml:space="preserve">No. </t>
  </si>
  <si>
    <t xml:space="preserve">Type </t>
  </si>
  <si>
    <t>Subtype</t>
  </si>
  <si>
    <t>Details</t>
  </si>
  <si>
    <t>Zone 4C</t>
  </si>
  <si>
    <t>Zone 5B</t>
  </si>
  <si>
    <t>&lt;=50</t>
  </si>
  <si>
    <t>51-167</t>
  </si>
  <si>
    <t>ESPM Building Activity Type Definition</t>
  </si>
  <si>
    <t>Notes on GFA</t>
  </si>
  <si>
    <t>Notes on Weekly Hours</t>
  </si>
  <si>
    <t>Corrections</t>
  </si>
  <si>
    <t>Table 7-3 Notes</t>
  </si>
  <si>
    <t>Table 7-3 Notes2</t>
  </si>
  <si>
    <t>Table 7-3 Notes3</t>
  </si>
  <si>
    <t>Table 7-1 Notes</t>
  </si>
  <si>
    <t>Table 7-1 Notes 2</t>
  </si>
  <si>
    <t>Table 7-1 Notes 3</t>
  </si>
  <si>
    <t>Special Tier 2</t>
  </si>
  <si>
    <t>Industrial</t>
  </si>
  <si>
    <t>Mixed Use</t>
  </si>
  <si>
    <t>Notes for OR Std 100 Table 7-1</t>
  </si>
  <si>
    <t>Notes from OR Std 100 Table 7-3</t>
  </si>
  <si>
    <t>Oregon Counties</t>
  </si>
  <si>
    <t>Climate Zones</t>
  </si>
  <si>
    <t>Tier</t>
  </si>
  <si>
    <t>Size</t>
  </si>
  <si>
    <t>Compliance Date</t>
  </si>
  <si>
    <t>Special Tier 2 GFA</t>
  </si>
  <si>
    <t>Regular GFA</t>
  </si>
  <si>
    <t>Building GFA</t>
  </si>
  <si>
    <t>Banking / financial services</t>
  </si>
  <si>
    <t>Bank branch</t>
  </si>
  <si>
    <t>Commercial banking outlet that offers banking services to walk-in customers</t>
  </si>
  <si>
    <t>Banking areas, vaults, lobbies, atriums, kitchens used by staff, restrooms, conference rooms, storage areas, stairways, and elevator shafts.</t>
  </si>
  <si>
    <t>7-1 Note #</t>
  </si>
  <si>
    <t>7-1 Text</t>
  </si>
  <si>
    <t>7-3 Note #</t>
  </si>
  <si>
    <t>7-3 Text</t>
  </si>
  <si>
    <t>Baker</t>
  </si>
  <si>
    <t>5B</t>
  </si>
  <si>
    <t>classified as:</t>
  </si>
  <si>
    <t>Financial office</t>
  </si>
  <si>
    <t>Used for financial services such as bank headquarters and securities and brokerage firms</t>
  </si>
  <si>
    <t>Offices, trading floors, conference rooms and auditoriums, vaults, restrooms, kitchens used by staff, lobbies, atriums, fitness areas for staff, storage areas, stairways, and elevator shafts.</t>
  </si>
  <si>
    <t>Select the most specific building activity type that applies.</t>
  </si>
  <si>
    <t xml:space="preserve">Do not count the hours when the property is occupied only by maintenance, security, the cleaning crew, or other support personnel. Do not count the hours when the property is occupied only by maintenance staff. </t>
  </si>
  <si>
    <t>Benton</t>
  </si>
  <si>
    <t>4C</t>
  </si>
  <si>
    <t>Education</t>
  </si>
  <si>
    <t>Adult education</t>
  </si>
  <si>
    <t>Used primarily for providing adult students with continuing education, workforce development, or professional development outside of the college or university setting.</t>
  </si>
  <si>
    <t>Classrooms, administrative space, conference rooms, kitchens used by staff, lobbies, cafeterias, auditoriums, restrooms, stairways, atriums, elevator shafts, and storage areas.</t>
  </si>
  <si>
    <t xml:space="preserve"> Building activity types are defined by AHJ in Table 7-4 and also include the following • data center: an activity space designed and equipped to meet the needs of high-density computing equipment, such as server racks, used for data storage and processing, including dedicated uninterruptible power supplies and cooling systems, and requiring a constant power load of 75 kW or more. Gross floor area shall only include space within the building, including raised floor computing space, server rack aisles, storage silos, control console areas, battery rooms, and mechanical rooms for dedicated cooling equipment. Gross floor area shall not include a server closet, telecommunications equipment closet, computer training area, office, elevator, corridors, or other auxiliary space. • urgent care center/clinic/other outpatient office: the buildings used to diagnose and treat patients, usually on an unscheduled, walk-in basis, who have an injury or illness that requires immediate care but is not serious enough to warrant a visit to an emergency department. Includes facilities that provide same-day surgical, diagnostic, and preventive care. </t>
  </si>
  <si>
    <t>Working hours are based on the average use over the 12-month period selected to document energy use in Form C: Calculation of Energy Use Intensity.</t>
  </si>
  <si>
    <t>Clackamas</t>
  </si>
  <si>
    <t>College / university</t>
  </si>
  <si>
    <t>Buildings used for the purpose of higher education. This includes public and private colleges and universities.</t>
  </si>
  <si>
    <t>Classrooms, libraries, laboratory classrooms, offices, cafeterias, maintenance facilities, arts facilities, athletic facilities, residential areas, storage rooms, restrooms, elevator shafts, and stairways.</t>
  </si>
  <si>
    <t xml:space="preserve">All medical offices considered to be diagnostic type. </t>
  </si>
  <si>
    <t xml:space="preserve">The weekly hours are the total number of hours per week where the majority of workers are present. If there are two or more shifts of workers, add the hours. </t>
  </si>
  <si>
    <t>Clatsop</t>
  </si>
  <si>
    <t>K-12 school</t>
  </si>
  <si>
    <t>Elementary / middle school</t>
  </si>
  <si>
    <t>K-12 School refers to buildings or campuses used as a school for Kindergarten through 12th grade students. This does not include college or university classroom facilities/laboratories, vocational, technical, trade, adult, or continuing education schools, preschools, or day care facilities. If the school serves any of the above student populations (e.g., an elementary school that includes prekindergarten), at least 75% of students must be in grades K-12.</t>
  </si>
  <si>
    <t>Classrooms, libraries, administrative space, conference rooms, restrooms, kitchens used by staff, lobbies, cafeterias, gymnasiums, auditoriums, laboratory classrooms, portable classrooms, greenhouses, stairways, atriums, elevator shafts, small landscaping sheds, and storage areas</t>
  </si>
  <si>
    <t xml:space="preserve">Must use Section 7.2.3 method for mixed-use buildings. </t>
  </si>
  <si>
    <t>The weekly hours are the hours that the majority of the building is open to serve the public.</t>
  </si>
  <si>
    <t>Columbia</t>
  </si>
  <si>
    <t>Regular SF</t>
  </si>
  <si>
    <t>High school</t>
  </si>
  <si>
    <t xml:space="preserve">Suggest considering use of Section 7.2.3 method for mixed-use buildings. </t>
  </si>
  <si>
    <t xml:space="preserve">The weekly hours the facility is open for operation, which may include worship services, choir practice, administrative use, committee meetings, classes, or other activities. </t>
  </si>
  <si>
    <t>Coos</t>
  </si>
  <si>
    <t>Special SF</t>
  </si>
  <si>
    <t>Property Type</t>
  </si>
  <si>
    <t>Gross Conditioned Floor Area, SF</t>
  </si>
  <si>
    <t>Tier / Compliance Date</t>
  </si>
  <si>
    <t>Min SF</t>
  </si>
  <si>
    <t>Preschool / daycare</t>
  </si>
  <si>
    <t>Used for educational programs or daytime supervision/recreation for young children before they attend Kindergarten.</t>
  </si>
  <si>
    <t>Classrooms, libraries, administrative space, conference rooms, restrooms, kitchens used by staff, lobbies, cafeterias, gymnasiums, auditoriums, stairways, elevator shafts, and storage areas.</t>
  </si>
  <si>
    <t xml:space="preserve">This is a building or activity without an energy target. Included to provide definition only. </t>
  </si>
  <si>
    <t>Must use Section 7.2.3 method for mixed-use buildings.</t>
  </si>
  <si>
    <t>Crook</t>
  </si>
  <si>
    <t>Tier based on activity type for Single buildings</t>
  </si>
  <si>
    <t>Interim step for Grouped Buildings tier determinations</t>
  </si>
  <si>
    <t>Extension of Tier 2 status to Grouped Buildings with a Special Tier 2 building in the mix</t>
  </si>
  <si>
    <t>Area or Building GFA</t>
  </si>
  <si>
    <t>Nonresidential, Hotel, or Motel</t>
  </si>
  <si>
    <r>
      <t>≥ 35,000 SF</t>
    </r>
    <r>
      <rPr>
        <i/>
        <vertAlign val="superscript"/>
        <sz val="11"/>
        <color theme="0"/>
        <rFont val="Calibri"/>
        <family val="2"/>
      </rPr>
      <t xml:space="preserve"> </t>
    </r>
    <r>
      <rPr>
        <i/>
        <sz val="11"/>
        <color theme="0"/>
        <rFont val="Calibri"/>
        <family val="2"/>
      </rPr>
      <t>and &lt; 90,000 SF</t>
    </r>
  </si>
  <si>
    <t>Tier 1 / June 1, 2030</t>
  </si>
  <si>
    <t>Vocational school</t>
  </si>
  <si>
    <t>Primarily designed to teach skilled trades to students, including trade and technical schools. Typically, vocational schools are commonly post-secondary education, consisting of 1-2 years of technical/trade training</t>
  </si>
  <si>
    <t>Classrooms, libraries, administrative space, conference rooms, restrooms, kitchens used by staff, lobbies, cafeterias, gymnasiums, auditoriums, laboratory classrooms, stairways, elevator shafts, and storage areas.</t>
  </si>
  <si>
    <t xml:space="preserve">This is a building or activity without an energy target. Follow directions for reporting in Section Z4.1(2)(d). </t>
  </si>
  <si>
    <t xml:space="preserve">Health care buildings may use other weekly hours if they are required to operate building systems additional hours to protect patient and staff safety. Provide documentation of the requirement in the energy management plan. </t>
  </si>
  <si>
    <t>Curry</t>
  </si>
  <si>
    <t>≥ 90,000 SF and &lt; 200,000 SF</t>
  </si>
  <si>
    <t>Tier 1 / June 1, 2029</t>
  </si>
  <si>
    <t>Other - education</t>
  </si>
  <si>
    <t>Used for religious, community, or other educational purposes that do not meet the definition of any other building activity type defined in Table 7-4 (i.e. educational purposes other than adult education, college/university, K-12 school, pre-school/daycare and vocational schools).</t>
  </si>
  <si>
    <t>Classrooms, libraries, administrative space, conference rooms, restrooms, kitchens used by staff, lobbies, cafeterias, auditoriums, laboratory classrooms, stairways, elevator shafts, and storage areas.</t>
  </si>
  <si>
    <t xml:space="preserve">Laboratories as defined by the college/university building activity type where the primary activity is for teaching practical science shall use the college/university building activity type target. College/university buildings with research laboratory building activities where the primary activities are of scientific research, measurement, and experiments are performed, can utilize building activity type 101 Laboratory for an area weighted EUIt . </t>
  </si>
  <si>
    <t>Refrigerated warehouse using greater than 167 hours assumes the workers on shift are loading and/or unloading vehicles.</t>
  </si>
  <si>
    <t>Deschutes</t>
  </si>
  <si>
    <t>≥ 200,000 SF</t>
  </si>
  <si>
    <t>Tier 1 / June 1, 2028</t>
  </si>
  <si>
    <t>Entertainment / public assembly</t>
  </si>
  <si>
    <t>Aquarium</t>
  </si>
  <si>
    <t>Used to provide aquatic habitat primarily to live animals and which may include public or private viewing areas and educational programs.</t>
  </si>
  <si>
    <t>Public and restricted areas such as visitor walkways, tank space, retail areas, restaurants, restrooms, laboratories, classrooms, administrative/office space, mechanical rooms, storage areas, elevator shafts, and stairwells</t>
  </si>
  <si>
    <t xml:space="preserve">Building activity type target developed at the campus-level. As an alternative to complying at the building-level, these covered commercial buildings may comply at a campus_x0002_level with the EUIt . “Campus-level” is an alternative reporting pathway for a collection of all buildings on adjoining property with a single shared primary function that act as a single property. </t>
  </si>
  <si>
    <t>Aquariums, Museums and Zoos may use other weekly hours if they are required to operate building systems additional hours to protect building contents. Provide documentation of the requirement in the energy management plan.</t>
  </si>
  <si>
    <t>Douglas</t>
  </si>
  <si>
    <t>≥ 20,000 SF and &lt; 35,000 SF</t>
  </si>
  <si>
    <t>Tier 2 / July 1, 2028</t>
  </si>
  <si>
    <t>Bar / nightclub</t>
  </si>
  <si>
    <t>Used primarily for social/entertainment purposes and is characterized by most of the revenue being generated from the sale of beverages instead of food.</t>
  </si>
  <si>
    <t>Standing/seating areas, stage/dressing room areas, food/drink preparation or kitchen areas, retail areas, restrooms, administrative/office space, mechanical rooms, storage areas, elevator shafts, and stairwells.</t>
  </si>
  <si>
    <t xml:space="preserve">A building with gross floor area, excluding any parking garage, that equals or exceeds 35,000 square feet and that is used as a multifamily residential building, a hospital, a school, a dormitory, or a university building is a Tier 2 building and is not required to meet the listed EUI targets. </t>
  </si>
  <si>
    <t xml:space="preserve">College/university, K-12 school, Hospital (general medical and surgical) and Prison/incarceration building activity types complying at the campus-level shall apply the campus-level shift normalization factor to the area weighted aggregate EUIt. Include all space uses listed in the campus-level building activity type (college/university, K-12 school, hospital, prison) Table 7-4 definitions. For space uses not listed in the campus-level building activity type definitions, the specific space use may use their specific shift normalization factor. </t>
  </si>
  <si>
    <t>Gilliam</t>
  </si>
  <si>
    <t>Multifamily Residential, Hospital, School, Dormitory, or University</t>
  </si>
  <si>
    <t>≥ 35,000 SF</t>
  </si>
  <si>
    <t>Bowling alley</t>
  </si>
  <si>
    <t>Used for public or private, recreational or professional bowling.</t>
  </si>
  <si>
    <t>Bowling lanes, concession areas, restrooms, party rooms, retail areas, administrative/office space, employee break rooms, storage areas, and mechanical rooms.</t>
  </si>
  <si>
    <t>10+</t>
  </si>
  <si>
    <t>Tier 2 building EUI targets are included here for use where applicable to mixed-use buildings and for reference. Future recommendations for a BPS, including specific EUI targets, for Tier 2 buildings will be determined through separate AHJ analysis and proceedings in accordance with ORS 469.287(6).</t>
  </si>
  <si>
    <t>Grant</t>
  </si>
  <si>
    <t>Casino</t>
  </si>
  <si>
    <t>Used primarily used to conduct gambling activities including both electronic and live table games.</t>
  </si>
  <si>
    <t>Main casino floor/gaming area, restaurants/bars, retail areas, administrative/office space, restrooms, mechanical rooms, storage areas, elevator shafts, and stairwells. If your Casino is in the same building as a hotel, enter a separate Hotel building activity type.</t>
  </si>
  <si>
    <t>Harney</t>
  </si>
  <si>
    <t>Convention center</t>
  </si>
  <si>
    <t>Used primarily for large conferences, exhibitions, and similar events. Convention centers may include a diverse variety of spaces, including large exhibition halls, meeting rooms, and concession stands.</t>
  </si>
  <si>
    <t>Exhibit halls, preparation and staging areas, meeting rooms, concession stands, offices, restrooms, break rooms, security areas, elevator shafts, and stairwells. Conference facilities located within a Hotel should be included along with your Hotel building activity type details, rather than added as a separate Convention Center building activity type. Conference facilities primarily serving smaller meetings should be entered as Social/Meeting Hall.</t>
  </si>
  <si>
    <t>Hood River</t>
  </si>
  <si>
    <t>Fitness center / health</t>
  </si>
  <si>
    <t>Used for recreational or professional athletic training and related activities.</t>
  </si>
  <si>
    <t>Weight and cardio equipment areas, personal training areas, courts, locker rooms, restrooms, sauna and spa areas, retail areas, administrative/office space, mechanical rooms, storage areas, elevator shafts, and stairwells.</t>
  </si>
  <si>
    <t>Jackson</t>
  </si>
  <si>
    <t>Ice / curling</t>
  </si>
  <si>
    <t>One or more ice sheets used for public or private, recreational or professional skating, hockey, or ringette.</t>
  </si>
  <si>
    <t>Ice area, spectator areas, concession stands, retail areas, locker rooms, restrooms, administrative/office areas, employee break rooms, mechanical rooms, and storage areas. Larger facilities primarily serving professional or collegiate functions and with significant spectator seating (above 5,000 seats) should be entered as Indoor Arena.</t>
  </si>
  <si>
    <t>Jefferson</t>
  </si>
  <si>
    <t>Indoor arena</t>
  </si>
  <si>
    <t>Used for professional or collegiate sports and entertainment events. Examples of events held in indoor arenas include basketball and hockey games, circus performances, and concerts. Indoor Arenas usually have capacities of 5,000 seats or more and are often characterized by multiple concourses and concession areas.</t>
  </si>
  <si>
    <t>Court/rink space, all concourse space on which workers or guests can walk, concession areas, retail stores, restaurants, administrative/office areas, restrooms, employee break rooms, kitchens, mechanical rooms, storage areas, elevator shafts, and stairwells</t>
  </si>
  <si>
    <t>Josephine</t>
  </si>
  <si>
    <t>Movie theater</t>
  </si>
  <si>
    <t>Used for public or private film screenings</t>
  </si>
  <si>
    <t>Seating areas, lobbies, concession stands, restrooms, administrative/ office space, mechanical rooms, storage areas, elevator shafts, and stairwells.</t>
  </si>
  <si>
    <t>Klamath</t>
  </si>
  <si>
    <t>Museum</t>
  </si>
  <si>
    <t>Display collections to outside visitors for public viewing and enjoyment and for informational/educational purposes.</t>
  </si>
  <si>
    <t>Public collection display areas, meeting rooms, classrooms, gift shops, food service areas, restrooms, administrative/office space, mechanical rooms, storage areas for collections, elevator shafts, and stairwells</t>
  </si>
  <si>
    <t>Lake</t>
  </si>
  <si>
    <t>Performing arts</t>
  </si>
  <si>
    <t>Used for public or private artistic or musical performances.</t>
  </si>
  <si>
    <t>Seating, stage and backstage areas, food service areas, restrooms, retail areas, rehearsal studios, administrative/office space, mechanical rooms, storage areas, elevator shafts, and stairwells.</t>
  </si>
  <si>
    <t>Lane</t>
  </si>
  <si>
    <t>Race track</t>
  </si>
  <si>
    <t>Used primarily to hold racing events such as vehicle races, track/field races, horse races, and/or dog-races.</t>
  </si>
  <si>
    <t>Spectator viewing areas, concourse space on which workers or guests can walk, concession areas, retail stores, restaurants, restrooms, administrative/office areas, employee break rooms, mechanical rooms, storage areas, elevator shafts, and stairwells. The footprint of the race track itself should also be included in the gross floor area, along with the footprint of any staging areas.</t>
  </si>
  <si>
    <t>Lincoln</t>
  </si>
  <si>
    <t>Roller rink</t>
  </si>
  <si>
    <t>Used primarily for roller-skating, inline skating/rollerblading, or skateboarding.</t>
  </si>
  <si>
    <t>Rink space, concession areas, restrooms, locker rooms, retail areas, administrative/office areas, employee break rooms, mechanical rooms, and storage areas</t>
  </si>
  <si>
    <t>Linn</t>
  </si>
  <si>
    <t>Social / meeting hall</t>
  </si>
  <si>
    <t>Primarily used for public or private gatherings. This may include community group meetings, seminars, workshops, or performances. Please note that there is another building activity type available, Convention Center, for large exhibition and conference facilities.</t>
  </si>
  <si>
    <t>Meeting rooms, auditoriums, food service areas, restrooms, lobbies, administrative/office space, mechanical rooms, storage areas, elevator shafts, and stairwells.</t>
  </si>
  <si>
    <t>Malheur</t>
  </si>
  <si>
    <t>Stadium (closed)</t>
  </si>
  <si>
    <t>Structures with a permanent or retractable roof which are used primarily for professional or collegiate sports and entertainment events. Examples of events held in closed stadiums include baseball and football games, and concerts. Closed Stadiums usually have capacities of 25,000 seats or more and are often characterized by multiple concourses and concession areas.</t>
  </si>
  <si>
    <t>Concourse space on which workers or guests can walk, concession areas, retail stores, restaurants, administrative/office areas, restrooms, employee break rooms, kitchens, mechanical rooms, storage areas, elevator shafts, and stairwells. The footprint of the playing field should also be included in the gross floor area.</t>
  </si>
  <si>
    <t>Marion</t>
  </si>
  <si>
    <t>Stadium (open)</t>
  </si>
  <si>
    <t>Structures used primarily for professional or collegiate sports and entertainment events in which the playing field is not covered and is exposed to the outside. Examples of events held in open stadiums include baseball, football, and soccer games, and concerts. Open Stadiums usually have capacities of 5,000 seats or more and are often characterized by multiple concourses and concession areas.</t>
  </si>
  <si>
    <t>Morrow</t>
  </si>
  <si>
    <t>Swimming pool</t>
  </si>
  <si>
    <t>Any heated swimming pools located inside a building</t>
  </si>
  <si>
    <t>No GFA definition</t>
  </si>
  <si>
    <t>Multnomah</t>
  </si>
  <si>
    <t>Zoo</t>
  </si>
  <si>
    <t>Used primarily to provide habitat to live animals and which may include public or private viewing and educational programs.</t>
  </si>
  <si>
    <t>Habitats, visitor viewing areas, theaters, classrooms, food service areas, restrooms, retail stores, veterinary offices, exhibit space, administrative/office space, mechanical rooms, storage areas, elevator shafts, and stairwells.</t>
  </si>
  <si>
    <t>Polk</t>
  </si>
  <si>
    <t>Other-entertainment / public assembly</t>
  </si>
  <si>
    <t>Entertainment / culture</t>
  </si>
  <si>
    <t>Providing entertainment and/or cultural services that do not meet the definition of any other building activity type defined in Table 7-4.</t>
  </si>
  <si>
    <t>Sherman</t>
  </si>
  <si>
    <t>Library</t>
  </si>
  <si>
    <t>Used to store and manage collections of literary and artistic materials such as books, periodicals, newspapers, films, etc. that can be used for reference or lending.</t>
  </si>
  <si>
    <t>Circulation rooms, storage areas, reading/study rooms, administrative space, kitchens used by staff, lobbies, conference rooms and auditoriums, fitness areas for staff, restrooms, storage areas, stairways, and elevator shafts.</t>
  </si>
  <si>
    <t>Tillamook</t>
  </si>
  <si>
    <t>Other public assembly</t>
  </si>
  <si>
    <t>Primarily used for entertainment or public gatherings that do not meet the definition of any other building activity type defined in Table 7-4.</t>
  </si>
  <si>
    <t>Entertainment areas, administrative areas, and supporting areas such as storage rooms, hallways, restrooms, stairways, and maintenance areas.</t>
  </si>
  <si>
    <t>Umatilla</t>
  </si>
  <si>
    <t>Recreation</t>
  </si>
  <si>
    <t>Primarily used for recreation that do not meet the definition of any other building activity type defined in Table 7- 4.</t>
  </si>
  <si>
    <t>Recreational areas, restrooms, and supporting activities such as mechanical rooms, storage areas, elevator shafts, and stairwells.</t>
  </si>
  <si>
    <t>Union</t>
  </si>
  <si>
    <t>Wallowa</t>
  </si>
  <si>
    <t>Other - recreation</t>
  </si>
  <si>
    <t>Primarily used for recreation that do not meet the definition of any other building activity type defined in Table 7-4.</t>
  </si>
  <si>
    <t>Wasco</t>
  </si>
  <si>
    <t>Other - stadium</t>
  </si>
  <si>
    <t>Primarily used for sporting events that do not meet the definition of any other building activity type defined in Table 7-4.</t>
  </si>
  <si>
    <t>Areas for athletic activity and spectator seating, restrooms, and supporting activities such as mechanical rooms, storage areas, elevator shafts, and stairwells.</t>
  </si>
  <si>
    <t>Washington</t>
  </si>
  <si>
    <t>Food sales and service</t>
  </si>
  <si>
    <t>Used primarily for preparation and sale of ready-to-eat food and beverages, but with secondary purposes characterized by revenue generated from social/entertainment services and associated sale of beverages instead of food. Examples include restaurants with lounges and nightclubs featuring entertainment together or separate from dining.</t>
  </si>
  <si>
    <t>Kitchens, sales areas, dining areas, offices, restrooms, staff break rooms, and storage areas</t>
  </si>
  <si>
    <t>Wheeler</t>
  </si>
  <si>
    <t>Convenience store with gas station</t>
  </si>
  <si>
    <t>Co-located with gas stations and are used for the sale of a limited range of items such as groceries, toiletries, newspapers, soft drinks, tobacco products, and other everyday items. Convenience Store with Gas Station may include space for vehicle servicing and repair.</t>
  </si>
  <si>
    <t>Sales floors, offices, restrooms, staff break rooms, storage areas, and vehicle repair areas.</t>
  </si>
  <si>
    <t>Yamhill</t>
  </si>
  <si>
    <t>Convenience store without gas station</t>
  </si>
  <si>
    <t>Used for the sale of a limited range of items such as groceries, toiletries, newspapers, soft drinks, tobacco products, and other everyday items, which are not co-located with a gas station.</t>
  </si>
  <si>
    <t>Sales floors, offices, restrooms, staff break rooms, and storage areas.</t>
  </si>
  <si>
    <t>Fast food restaurant</t>
  </si>
  <si>
    <t>Used for the preparation and sale of ready-to-eat food. Fast Food Restaurants are characterized by a limited menu of food prepared quickly (often within a few minutes), and sometimes cooked in bulk in advance and kept hot.</t>
  </si>
  <si>
    <t>Kitchens, sales areas, dining areas, offices, restrooms, staff break rooms, and storage areas.</t>
  </si>
  <si>
    <t>Food sales</t>
  </si>
  <si>
    <t>Grocery / food market</t>
  </si>
  <si>
    <t>Used for the retail sale of primarily food and beverage products, and which may include small amounts of preparation and sale of ready-to-eat food. Buildings where the primary business is the on-site preparation and sale of ready-to-eat food should use one of the Restaurant building activity types.</t>
  </si>
  <si>
    <t>Sales floor, offices, storage areas, kitchens, restrooms, staff break rooms, and stairwells</t>
  </si>
  <si>
    <t>Convenience store with gas</t>
  </si>
  <si>
    <t>Convenience store</t>
  </si>
  <si>
    <t>Other food sales</t>
  </si>
  <si>
    <t>Used for the sales of food on either a retail or wholesale basis, but which do not meet the definition of Supermarket/Grocery Store/Food Market, Convenience Store, or Convenience Store with Gas Stations. For example, specialty food sales like a cheese shop or butcher.</t>
  </si>
  <si>
    <t>Sales areas, storage areas, offices, kitchens, restrooms, and staff break rooms.</t>
  </si>
  <si>
    <t>set at min of all Food sales ESPM Subtype listings type 39</t>
  </si>
  <si>
    <t>Food service</t>
  </si>
  <si>
    <t>Fast food</t>
  </si>
  <si>
    <t>Restaurant/ cafeteria</t>
  </si>
  <si>
    <t>Used for preparation and sale of ready-to-eat food and beverages, but which do not fit in the fast food building activity type. Examples include fast casual, casual, and fine dining restaurants.</t>
  </si>
  <si>
    <t>Other food service</t>
  </si>
  <si>
    <t>Used for preparation and sale of food and beverages, but which do not meet the definition of Restaurant or Bar/Nightclub. For example, a bakery or coffee shop.</t>
  </si>
  <si>
    <t>set at min of all Food service ESPM Subtype listings type 43</t>
  </si>
  <si>
    <t>Restaurant</t>
  </si>
  <si>
    <t>Used for preparation and sale of ready-to eat food and beverages, but which do not fit in the fast food building activity type. Examples include fast casual, casual, and fine dining restaurants</t>
  </si>
  <si>
    <t>Supermarket / grocery store</t>
  </si>
  <si>
    <t>Wholesale club / supercenter</t>
  </si>
  <si>
    <t>Used to conduct the retail sale of a wide variety of merchandise, typically in bulk quantities. Merchandise may include food, clothing, office supplies, furniture, electronics, books, sporting goods, toys, and hardware.</t>
  </si>
  <si>
    <t>Sales floor, offices, storage areas, kitchens, restrooms, staff break rooms, elevators, and stairwells.</t>
  </si>
  <si>
    <t>Other - restaurant / bar</t>
  </si>
  <si>
    <t>Used for preparation and sale of ready-to-eat food and beverages, but which does not fit into the Fast Food Restaurant, Restaurant, or Bar/Nightclub building activity types.</t>
  </si>
  <si>
    <t>Kitchens, sales areas, dining areas, restrooms, staff break rooms, and storage areas.</t>
  </si>
  <si>
    <t>Healthcare</t>
  </si>
  <si>
    <t>Ambulatory surgical center</t>
  </si>
  <si>
    <t>Health care facilities that provide same-day surgical care, including diagnostic and preventive procedures.</t>
  </si>
  <si>
    <t>Offices, operating and recovery rooms, waiting rooms, restrooms, employee break rooms and kitchens, elevator shafts, stairways, mechanical rooms, and storage areas.</t>
  </si>
  <si>
    <t>Hospital</t>
  </si>
  <si>
    <t>General medical and surgical hospital (including critical access hospitals and children’s hospitals). These facilities provide acute care services intended to treat patients for short periods of time, including emergency medical care, physician's office services, diagnostic care, ambulatory care, surgical care, and limited specialty services such as rehabilitation and cancer care. The definition of Hospital does not account for all building activity types owned by the hospital that are located within the Hospital building/complex, including nonclinical spaces such as administrative offices, food service, retail, hotels, and power plant.</t>
  </si>
  <si>
    <t>Operating rooms, bedrooms, emergency treatment areas, and medical offices, exam rooms, laboratories, lobbies, atriums, cafeterias, restrooms, stairways, corridors connecting buildings, storage areas, and elevator shafts</t>
  </si>
  <si>
    <t>Usually 24/7 operation</t>
  </si>
  <si>
    <t>10, 11</t>
  </si>
  <si>
    <t>Medical office</t>
  </si>
  <si>
    <t>Used to provide diagnosis and treatment for medical, dental, or psychiatric outpatient care.</t>
  </si>
  <si>
    <t>Include offices, exam rooms, laboratories, lobbies, atriums, conference rooms and auditoriums, employee break rooms and kitchens, restrooms, elevator shafts, stairways, mechanical rooms, and storage areas</t>
  </si>
  <si>
    <t>set same as Medical Office type 72</t>
  </si>
  <si>
    <t>Outpatient</t>
  </si>
  <si>
    <t>Used to provide diagnosis and treatment for rehabilitation and physical therapy.</t>
  </si>
  <si>
    <t>Offices, exam rooms, waiting rooms, indoor pool areas, atriums, employee break rooms and kitchens, restrooms, elevator shafts, stairways, mechanical rooms, and storage areas.</t>
  </si>
  <si>
    <t>Residential care facility</t>
  </si>
  <si>
    <t>Provide rehabilitative and restorative care to patients on long-term or permanent basis. Residential Care Facilities treat mental health issues, substance abuse, and rehabilitation for injury, illness, and disabilities. This building activity type is intended for facilities that offer long-term residential care to residents of all ages who may need assistance with activities of daily living. If a facility provides nursing and assistance to seniors only, use Senior Care Community.</t>
  </si>
  <si>
    <t>Individual rooms or units, wellness centers, exam rooms, community rooms, small shops or service areas for residents and visitors (e.g. hair salons, convenience stores), staff offices, lobbies, atriums, cafeterias, kitchens, restrooms, storage areas, hallways, basements, stairways, corridors between buildings, and elevator shafts.</t>
  </si>
  <si>
    <t>Senior care community</t>
  </si>
  <si>
    <t>House and provide care and assistance for elderly residents.</t>
  </si>
  <si>
    <t>Urgent care / clinic / other outpatient</t>
  </si>
  <si>
    <t>Used to diagnose and treat patients, usually on an unscheduled, walk-in basis, who have an injury or illness that requires immediate care but is not serious enough to warrant a visit to an emergency department. Includes facilities that provide same-day surgical, diagnostic and preventive care.</t>
  </si>
  <si>
    <t>Offices, exam rooms, waiting rooms, atriums, employee break rooms and kitchens, restrooms, elevator shafts, stairways, mechanical rooms, and storage areas</t>
  </si>
  <si>
    <t>Other - specialty hospital</t>
  </si>
  <si>
    <t>Long-term acute care hospitals, inpatient rehabilitation facilities, including Cancer Centers and Psychiatric and Substance Abuse Hospitals/Facilities.</t>
  </si>
  <si>
    <t>Medical offices, patient rooms, laboratories, lobbies, atriums, cafeterias, restrooms, stairways, corridors connecting buildings, storage areas, elevator shafts.</t>
  </si>
  <si>
    <t>Lodging / residential</t>
  </si>
  <si>
    <t>Barracks</t>
  </si>
  <si>
    <t>Military facilities or educational institutions, which offer multiple accommodations for long-term residents.</t>
  </si>
  <si>
    <t>Bedrooms, common areas, food service facilities, restrooms, laundry facilities, meeting spaces, exercise rooms, health club/spas, lobbies, elevator shafts, storage areas, and stairways.</t>
  </si>
  <si>
    <t>Hotel</t>
  </si>
  <si>
    <t>Buildings renting overnight room/ suites, typically with bath/shower and other facilities in guest rooms. Hotels typically have daily services for guests including housekeeping/laundry &amp; front desk/ concierge. Hotel does not apply if &gt;50% floor area is fractional ownership units like condominiums, vacation timeshares, or private residences rented on a daily or weekly basis, should be owned by single entity. Condominiums or Time Shares use the Multifamily type.</t>
  </si>
  <si>
    <t>Guestrooms, halls, lobbies, atriums, food preparation and restaurant space, conference and banquet space, fitness centers/spas, laundry facilities, elevator shafts, stairways, mechanical rooms, storage areas, restrooms, employee break rooms, and back-of-house offices.</t>
  </si>
  <si>
    <t>Motel or inn</t>
  </si>
  <si>
    <t>Hotel like lodging where most rooms are entered from the exterior.</t>
  </si>
  <si>
    <t>Multifamily housing</t>
  </si>
  <si>
    <t>Building containing five (5) or more sleeping or dwelling units where occupants are primarily permanent in nature any pay rent to a building owner.</t>
  </si>
  <si>
    <t>Living space in each unit (including occupied and unoccupied units), interior common areas (e.g. lobbies, offices, community rooms, common kitchens, fitness rooms), hallways, stairwells, elevator shafts, connecting corridors between buildings, storage areas, restrooms, and mechanical space such as a boiler room.</t>
  </si>
  <si>
    <t>Prison / incarceration</t>
  </si>
  <si>
    <t>Federal, state, local, or private-sector buildings used for the detention of persons awaiting trial or convicted of crimes.</t>
  </si>
  <si>
    <t>Holding cells, cafeterias, administrative spaces, kitchens, lobbies, atriums, conference rooms and auditoriums, fitness areas, storage areas, restrooms, stairways, and elevator shafts.</t>
  </si>
  <si>
    <t>Residence hall / dormitory</t>
  </si>
  <si>
    <t>Buildings associated with educational institutions or military facilities, which offer multiple accommodations for long-term residents.</t>
  </si>
  <si>
    <t>Buildings that house and provide care and assistance for elderly residents. A community with only independent living should benchmark under the Multifamily building activity type.</t>
  </si>
  <si>
    <t>Other - lodging / residential</t>
  </si>
  <si>
    <t>Other than multifamily residential, single family home, senior care community, residence hall/dormitory, barracks, prison/incarceration, or hotel)</t>
  </si>
  <si>
    <t>Living areas, common areas, and administrative space, kitchens used by staff, lobbies, waiting areas, cafeterias, restrooms, stairways, atriums, elevator shafts, and storage areas.</t>
  </si>
  <si>
    <t>Mixed-use</t>
  </si>
  <si>
    <t>Mixed-use property</t>
  </si>
  <si>
    <t>INPUT INDIVIDUAL SPACE TYPES</t>
  </si>
  <si>
    <t>Must use Section 7.2.3 method for mixed-use buildings, area weighted EUIt based on building activity types.</t>
  </si>
  <si>
    <t>Office</t>
  </si>
  <si>
    <t>Offices, exam rooms, laboratories, lobbies, atriums, conference rooms and auditoriums, employee break rooms and kitchens, restrooms, elevator shafts, stairways, mechanical rooms, and storage areas.</t>
  </si>
  <si>
    <t>Admin / professional office</t>
  </si>
  <si>
    <t>Used for the conduct of commercial business activities.</t>
  </si>
  <si>
    <t>Offices, conference rooms and auditoriums, kitchens used by staff, lobbies, fitness areas for staff, restrooms, storage areas, stairways, and elevator shafts.</t>
  </si>
  <si>
    <t>Bank / other financial</t>
  </si>
  <si>
    <t>Financial services such as bank headquarters and securities and brokerage firms.</t>
  </si>
  <si>
    <t>Offices, trading floors, conference rooms and auditoriums, vaults, kitchens used by staff, lobbies, atriums, fitness areas for staff, restrooms, storage areas, stairways, and elevator shafts.</t>
  </si>
  <si>
    <t>Government office</t>
  </si>
  <si>
    <t>Used by employees of Federal, State, County, or City Governments</t>
  </si>
  <si>
    <t>Medical office (diagnostic)</t>
  </si>
  <si>
    <t>Offices, exam rooms, laboratories, lobbies, atriums, conference rooms and auditoriums, employee break rooms and kitchens, restrooms, elevator shafts, stairways, mechanical rooms, and storage areas</t>
  </si>
  <si>
    <t>Other office</t>
  </si>
  <si>
    <t>Office that does not meet the definition of any of the other office building activity type defined in Table 7-4.</t>
  </si>
  <si>
    <t>Veterinary office</t>
  </si>
  <si>
    <t>Used for the medical care and treatment of animals.</t>
  </si>
  <si>
    <t>Other - office</t>
  </si>
  <si>
    <t>Public services</t>
  </si>
  <si>
    <t>Courthouse</t>
  </si>
  <si>
    <t>Federal, state, or local courts, and associated administrative office space.</t>
  </si>
  <si>
    <t>Temporary holding cells, chambers, kitchens used by staff, lobbies, atriums, conference rooms and auditoriums, fitness areas for staff, restrooms, storage areas, stairways, and elevator shafts.</t>
  </si>
  <si>
    <t>Fire station</t>
  </si>
  <si>
    <t>Used to provide emergency response services associated with fires. Fire stations may be staffed by either volunteer or full-time paid firefighters.</t>
  </si>
  <si>
    <t>Office areas, vehicle storage areas, residential areas (if applicable), storage areas, break rooms, restrooms, kitchens, elevator shafts, and stairwells.</t>
  </si>
  <si>
    <t>Mailing center / post office</t>
  </si>
  <si>
    <t>Used as retail establishments dedicated to mail and mailing supplies. This includes U.S. Post Offices, in addition to private retailers that offer priority mail services and mailing supplies.</t>
  </si>
  <si>
    <t>Retail counters, administrative space, kitchens used by staff, restrooms, lobbies, conference rooms, storage areas, stairways, and mechanical rooms</t>
  </si>
  <si>
    <t>Police station</t>
  </si>
  <si>
    <t>Used for federal, state, or local police forces and their associated office space.</t>
  </si>
  <si>
    <t>Offices, temporary holding cells, kitchens used by staff, restrooms, lobbies, atriums, conference rooms and auditoriums, fitness areas for staff, storage areas, stairways, and elevator shafts.</t>
  </si>
  <si>
    <t>Holding cells, cafeterias, administrative spaces, kitchens, restrooms, lobbies, atriums, conference rooms and auditoriums, fitness areas, storage areas, stairways, and elevator shafts.</t>
  </si>
  <si>
    <t>Used for public or private gatherings. This may include community group meetings, seminars, workshops, or performances. Please note that there is another building activity type available, Convention Center, for large exhibition and conference facilities.</t>
  </si>
  <si>
    <t>Transportation terminal / station</t>
  </si>
  <si>
    <t>Used primarily for accessing public or private transportation. This includes train stations, bus stations, airports, and seaports. These terminals include areas for ticket purchases, and embarkation/disembarkation, and may also include public waiting areas with restaurants and other concessions.</t>
  </si>
  <si>
    <t>Boarding areas, waiting areas, administrative space, kitchens used by staff, restrooms, lobbies, restaurants, cafeterias, stairways, atriums, elevator shafts, and storage areas.</t>
  </si>
  <si>
    <t>Other - public service</t>
  </si>
  <si>
    <t>Used by public-sector organizations to provide public services other than those described in the available building activity types in this table (i.e. services other than offices, courthouses, drinking water treatment and distribution plants, fire stations, libraries, mailing centers or post offices, police stations, prisons or incarceration facilities, social or meeting halls,</t>
  </si>
  <si>
    <t>Administrative space, kitchens used by staff, restrooms, lobbies, waiting areas, cafeterias, stairways, atriums, elevator shafts, landscaping sheds, and storage areas.</t>
  </si>
  <si>
    <t>Religious worship</t>
  </si>
  <si>
    <t>Worship facility</t>
  </si>
  <si>
    <t>Used as places of worship. This includes churches, temples, mosques, synagogues, meetinghouses, or any other buildings that primarily function as a place of religious worship.</t>
  </si>
  <si>
    <t>Primary worship area, including food preparation, community rooms, classrooms, and supporting areas such as restrooms, storage areas, hallways, and elevator shafts.</t>
  </si>
  <si>
    <t>Retail</t>
  </si>
  <si>
    <t>Automobile dealership</t>
  </si>
  <si>
    <t>Used for the sale of new or used cars and light trucks.</t>
  </si>
  <si>
    <t>Sales floors, offices, conference rooms, vehicle service centers, parts storage areas, waiting rooms, staff break rooms, restrooms, hallways, and stairwells.</t>
  </si>
  <si>
    <t>Enclosed mall</t>
  </si>
  <si>
    <t>Buildings that house multiple stores, often “anchored” by one or more department stores, and with interior walkways. Most stores will not have entrances accessible from outside, with the exception of the “anchor” stores.</t>
  </si>
  <si>
    <t>Retail stores, offices, food courts, restaurants, storage areas, restrooms, staff break rooms, atriums, walkways, stairwells, and mechanical rooms.</t>
  </si>
  <si>
    <t>Lifestyle center</t>
  </si>
  <si>
    <t>Other retail</t>
  </si>
  <si>
    <t>Mixed-use commercial development that includes retail stores and leisure amenities that do not meet the definition of Lifestyle Center - Retail store.</t>
  </si>
  <si>
    <t>Retail stores, offices, food courts, restaurants, residential areas, storage areas, restrooms, staff break rooms, walkways, stairwells, and mechanical areas.</t>
  </si>
  <si>
    <t>Retail store</t>
  </si>
  <si>
    <t>Mixed-use commercial development that includes retail stores and leisure amenities, where individual retail stores typically contain an entrance accessible from the outside and are not connected by internal walkways. Lifestyle centers have an open-air design, unlike traditional enclosed malls, and often include landscaped pedestrian areas, as well as streets and vehicle parking.</t>
  </si>
  <si>
    <t>set to same as other retail type 92</t>
  </si>
  <si>
    <t>Individual stores used to conduct the retail sale of non-food consumer goods such as clothing, books, toys, sporting goods, office supplies, hardware, and electronics. Buildings containing multiple stores should be classified as enclosed mall, lifestyle center, or strip mall.</t>
  </si>
  <si>
    <t>Sales areas, storage areas, offices, restrooms, staff break rooms, elevators, and stairwells.</t>
  </si>
  <si>
    <t>Strip mall</t>
  </si>
  <si>
    <t>corrected 7-1 table note to call for area-weighted average</t>
  </si>
  <si>
    <t>Sales floor, offices, storage areas, kitchens, restrooms, staff break rooms, and stairwells.</t>
  </si>
  <si>
    <t>Other - retail / mall</t>
  </si>
  <si>
    <t>Retail stores, offices, food courts, restaurants, storage areas, restrooms, staff break rooms, atriums, walkways, stairwells, and mechanical rooms</t>
  </si>
  <si>
    <t>corrected EUIt to zero to call for area-weighted average</t>
  </si>
  <si>
    <t>Technology / science</t>
  </si>
  <si>
    <t>Data center</t>
  </si>
  <si>
    <t>NONTARGET</t>
  </si>
  <si>
    <t>Space or building specifically designed and equipped to meet the needs of high density computing equipment, such as server racks, used for data storage and processing, including dedicated uninterruptible power supplies and cooling systems and require a constant power load of 75 kW or more.</t>
  </si>
  <si>
    <t>Space within the building including raised floor computing space, server rack aisles, storage silos, control console areas, battery rooms and mechanical rooms for dedicated cooling equipment. Shall not include a server closet, telecommunications equipment closet, computer training area, office, elevator, corridors, or other auxiliary space.</t>
  </si>
  <si>
    <t>Laboratory</t>
  </si>
  <si>
    <t>Buildings that provide controlled conditions in which scientific research, measurement, and experiments are performed or practical science is taught.</t>
  </si>
  <si>
    <t>Workstations/hoods, offices, conference rooms, restrooms, storage areas, decontamination rooms, mechanical rooms, elevator shafts, and stairwells.</t>
  </si>
  <si>
    <t>Other service</t>
  </si>
  <si>
    <t>Buildings used for science and technology related services other than Laboratories and Data Centers.</t>
  </si>
  <si>
    <t>Main business activity, production areas, administrative offices, restrooms, employee</t>
  </si>
  <si>
    <t>Services</t>
  </si>
  <si>
    <t>Personal services</t>
  </si>
  <si>
    <t>Health / beauty, dry cleaning, etc.</t>
  </si>
  <si>
    <t>Used to sell services rather than physical goods. Examples include dry cleaners, salons, spas, etc</t>
  </si>
  <si>
    <t>Sales floors, offices, storage areas, restrooms, staff break rooms, walkways, and stairwells.</t>
  </si>
  <si>
    <t>Repair services</t>
  </si>
  <si>
    <t>Repair shop</t>
  </si>
  <si>
    <t>Buildings in which repair service is provided other than vehicle repair or maintenance. Examples include vehicle service or repair shops, shoe repair, jewelry repair, locksmiths, etc.</t>
  </si>
  <si>
    <t>Sales floors, repair areas, workshops, offices, parts storage areas, waiting rooms, restrooms, staff break rooms, hallways, and stairwells.</t>
  </si>
  <si>
    <t>Vehicle service / repair shop</t>
  </si>
  <si>
    <t>Buildings in which vehicle repair service is provided. Examples include vehicle mechanical repair, body and paint shops, muffler, brake and tire shops.</t>
  </si>
  <si>
    <t>Vehicle storage / maintenance</t>
  </si>
  <si>
    <t>Buildings in which vehicle storage or maintenance service is provided. Examples include warehousing of vehicles and maintenance services such as vehicle washing/detailing.</t>
  </si>
  <si>
    <t>Sales floors, maintenance areas, repair areas, workshops, offices, storage areas, waiting rooms, restrooms, staff break rooms, hallways, and stairwells</t>
  </si>
  <si>
    <t>Other-services</t>
  </si>
  <si>
    <t>Buildings in which primarily services are offered, but which does not fit into the Personal Services or Repair Services building activity type. Examples include kennels, photo processing shops, etc.</t>
  </si>
  <si>
    <t>Utility</t>
  </si>
  <si>
    <t>Energy / power station</t>
  </si>
  <si>
    <t>Buildings containing machinery and/or associated equipment for generating electricity or district heat (steam, hot water, or chilled water) from a raw fuel, including fossil fuel power plants, traditional district heat power plants, combined heat and power plants, nuclear reactors, hydroelectric dams, or facilities associated with a solar or wind farm.</t>
  </si>
  <si>
    <t>Power generation areas (boilers, turbines etc.), administrative space, cooling towers, kitchens used by staff, restrooms, lobbies, meeting rooms, cafeterias, stairways, elevator shafts, and storage areas (which may include fossil fuel storage tanks or bins).</t>
  </si>
  <si>
    <t>Other - utility</t>
  </si>
  <si>
    <t>Used by a utility for some purpose other than general office or energy/power generation. This may include utility transfer stations or maintenance facilities. Note that an administrative office occupied by a utility should be entered as Office, and a power or energy generation plant should be entered as Energy/ Power Station</t>
  </si>
  <si>
    <t>Administrative space, maintenance and equipment areas, generator rooms, kitchens used by staff, restrooms, lobbies, meeting rooms, stairways, elevator shafts, and storage areas.</t>
  </si>
  <si>
    <t>Warehouse / storage</t>
  </si>
  <si>
    <t>Self-storage facility</t>
  </si>
  <si>
    <t>Buildings that are used for private storage. Typically, a single Self Storage Facility will contain a variety of individual units that are rented out for the purpose of storing personal belongings.</t>
  </si>
  <si>
    <t>Individual storage units, administrative offices, security and maintenance areas, mechanical rooms, hallways, stairways, and elevator shafts.</t>
  </si>
  <si>
    <t>Distribution center</t>
  </si>
  <si>
    <t>Unrefrigerated buildings that are used for the temporary storage and redistribution of goods, manufactured products, merchandise or raw materials. Buildings that are used primarily for assembling, modifying, manufacturing, or growing goods, products, merchandise or raw material should be classified as Manufacturing Facility.</t>
  </si>
  <si>
    <t>Space designed to store non-perishable goods and merchandise, offices, lobbies, stairways, restrooms, equipment storage areas, and elevator shafts.</t>
  </si>
  <si>
    <t>Nonrefrigerated warehouse</t>
  </si>
  <si>
    <t>Unrefrigerated buildings that are used to store goods, manufactured products, merchandise or raw materials. Buildings that are used primarily for assembling, modifying, manufacturing, or growing goods, products, merchandise or raw material should be classified as Manufacturing Facility.</t>
  </si>
  <si>
    <t>Main storage rooms, administrative offices, lobbies, stairways, restrooms, equipment storage areas, and elevator shafts.</t>
  </si>
  <si>
    <t>Refrigerated warehouse</t>
  </si>
  <si>
    <t>Refrigerated buildings that are used to store or redistribute perishable goods or merchandise under refrigeration at temperatures below 50 degrees Fahrenheit (10 degrees Celsius). Buildings that are used primarily for assembling, modifying, manufacturing, or growing goods, products, merchandise or raw material should be classified as Manufacturing Facility.</t>
  </si>
  <si>
    <t>Temperature controlled areas, administrative offices, lobbies, stairways, restrooms, equipment storage areas, and elevator shafts.</t>
  </si>
  <si>
    <t>V</t>
  </si>
  <si>
    <t>Vacant</t>
  </si>
  <si>
    <t>Not heated or cooled</t>
  </si>
  <si>
    <t xml:space="preserve">Only use this activity type if less than 50% of building is vacant and the vacant space's heating and cooling systems are always off. EUIt is based only on non-vacant areas. Heated and/or cooled vacant spaces should input the activity type from before this vacancy. </t>
  </si>
  <si>
    <t xml:space="preserve">  </t>
  </si>
  <si>
    <r>
      <t>GFA, ft</t>
    </r>
    <r>
      <rPr>
        <b/>
        <vertAlign val="superscript"/>
        <sz val="11"/>
        <color theme="1"/>
        <rFont val="Aptos Narrow"/>
        <family val="2"/>
        <scheme val="minor"/>
      </rPr>
      <t>2</t>
    </r>
  </si>
  <si>
    <t>No</t>
  </si>
  <si>
    <t>This tool is for finding EUIt and building tiers and to be used by energy professionals, either a QP, QEM, or QEA.</t>
  </si>
  <si>
    <t>Tier 1 - Qualified Person/QP or Qualified Energy Auditor/QEA; Tier 2 - Qualified Energy Manager/QEM or QP</t>
  </si>
  <si>
    <t>Oregon Building Performance Standard ENERGY USE INTENSITY TARGET TOOL V6 as of 4-6-2026</t>
  </si>
  <si>
    <t>Metered separately?</t>
  </si>
  <si>
    <t>Data center 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</si>
</sst>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409]mmmm\ d\,\ yyyy;@"/>
  </numFmts>
  <fonts count="35" x14ac:knownFonts="1">
    <font>
      <sz val="11"/>
      <color theme="1"/>
      <name val="Aptos Narrow"/>
      <family val="2"/>
      <scheme val="minor"/>
    </font>
    <font>
      <b/>
      <sz val="11"/>
      <color theme="1"/>
      <name val="Aptos Narrow"/>
      <family val="2"/>
      <scheme val="minor"/>
    </font>
    <font>
      <sz val="11"/>
      <color theme="1"/>
      <name val="Aptos Narrow"/>
      <family val="2"/>
      <scheme val="minor"/>
    </font>
    <font>
      <sz val="10"/>
      <color theme="1"/>
      <name val="Aptos Narrow"/>
      <family val="2"/>
      <scheme val="minor"/>
    </font>
    <font>
      <b/>
      <vertAlign val="superscript"/>
      <sz val="11"/>
      <color theme="1"/>
      <name val="Aptos Narrow"/>
      <family val="2"/>
      <scheme val="minor"/>
    </font>
    <font>
      <b/>
      <sz val="12"/>
      <color theme="0"/>
      <name val="Aptos Narrow"/>
      <family val="2"/>
      <scheme val="minor"/>
    </font>
    <font>
      <u/>
      <sz val="11"/>
      <color theme="10"/>
      <name val="Aptos Narrow"/>
      <family val="2"/>
      <scheme val="minor"/>
    </font>
    <font>
      <b/>
      <sz val="11"/>
      <color theme="0"/>
      <name val="Aptos Narrow"/>
      <family val="2"/>
      <scheme val="minor"/>
    </font>
    <font>
      <sz val="11"/>
      <color theme="0"/>
      <name val="Aptos Narrow"/>
      <family val="2"/>
      <scheme val="minor"/>
    </font>
    <font>
      <b/>
      <sz val="11"/>
      <color rgb="FF000099"/>
      <name val="Aptos Narrow"/>
      <family val="2"/>
      <scheme val="minor"/>
    </font>
    <font>
      <b/>
      <i/>
      <sz val="14"/>
      <color theme="1"/>
      <name val="Aptos Narrow"/>
      <family val="2"/>
      <scheme val="minor"/>
    </font>
    <font>
      <b/>
      <sz val="12"/>
      <color theme="1"/>
      <name val="Aptos Narrow"/>
      <family val="2"/>
      <scheme val="minor"/>
    </font>
    <font>
      <sz val="10"/>
      <color theme="0"/>
      <name val="Aptos Narrow"/>
      <family val="2"/>
      <scheme val="minor"/>
    </font>
    <font>
      <b/>
      <i/>
      <sz val="11"/>
      <color theme="0"/>
      <name val="Calibri"/>
      <family val="2"/>
    </font>
    <font>
      <i/>
      <sz val="11"/>
      <color theme="0"/>
      <name val="Calibri"/>
      <family val="2"/>
    </font>
    <font>
      <i/>
      <vertAlign val="superscript"/>
      <sz val="11"/>
      <color theme="0"/>
      <name val="Calibri"/>
      <family val="2"/>
    </font>
    <font>
      <b/>
      <sz val="11"/>
      <name val="Aptos Narrow"/>
      <family val="2"/>
      <scheme val="minor"/>
    </font>
    <font>
      <b/>
      <u/>
      <sz val="11"/>
      <color theme="4"/>
      <name val="Aptos Narrow"/>
      <family val="2"/>
      <scheme val="minor"/>
    </font>
    <font>
      <b/>
      <sz val="11"/>
      <color theme="4"/>
      <name val="Aptos Narrow"/>
      <family val="2"/>
      <scheme val="minor"/>
    </font>
    <font>
      <sz val="11"/>
      <name val="Aptos Narrow"/>
      <family val="2"/>
      <scheme val="minor"/>
    </font>
    <font>
      <b/>
      <sz val="11"/>
      <color rgb="FFC00000"/>
      <name val="Aptos Narrow"/>
      <family val="2"/>
      <scheme val="minor"/>
    </font>
    <font>
      <i/>
      <sz val="10"/>
      <color theme="1"/>
      <name val="Aptos Narrow"/>
      <family val="2"/>
      <scheme val="minor"/>
    </font>
    <font>
      <b/>
      <sz val="11"/>
      <color theme="5"/>
      <name val="Aptos Narrow"/>
      <family val="2"/>
      <scheme val="minor"/>
    </font>
    <font>
      <sz val="11"/>
      <color theme="5"/>
      <name val="Aptos Narrow"/>
      <family val="2"/>
      <scheme val="minor"/>
    </font>
    <font>
      <sz val="11"/>
      <color rgb="FF000099"/>
      <name val="Aptos Narrow"/>
      <family val="2"/>
      <scheme val="minor"/>
    </font>
    <font>
      <sz val="16"/>
      <color rgb="FF000099"/>
      <name val="Aptos Narrow"/>
      <family val="2"/>
      <scheme val="minor"/>
    </font>
    <font>
      <sz val="11"/>
      <color theme="2" tint="-9.9978637043366805E-2"/>
      <name val="Aptos Narrow"/>
      <family val="2"/>
      <scheme val="minor"/>
    </font>
    <font>
      <b/>
      <sz val="10"/>
      <color theme="2" tint="-9.9978637043366805E-2"/>
      <name val="Aptos Narrow"/>
      <family val="2"/>
      <scheme val="minor"/>
    </font>
    <font>
      <sz val="10.5"/>
      <name val="Aptos Narrow"/>
      <family val="2"/>
      <scheme val="minor"/>
    </font>
    <font>
      <b/>
      <sz val="10"/>
      <color rgb="FF000099"/>
      <name val="Aptos Narrow"/>
      <family val="2"/>
      <scheme val="minor"/>
    </font>
    <font>
      <b/>
      <i/>
      <u/>
      <sz val="10"/>
      <color theme="10"/>
      <name val="Aptos Narrow"/>
      <family val="2"/>
      <scheme val="minor"/>
    </font>
    <font>
      <sz val="11"/>
      <color rgb="FF000000"/>
      <name val="Aptos Narrow"/>
    </font>
    <font>
      <b/>
      <sz val="11"/>
      <color rgb="FFE97132"/>
      <name val="Aptos Narrow"/>
    </font>
    <font>
      <sz val="11"/>
      <color theme="1"/>
      <name val="Aptos Narrow"/>
    </font>
    <font>
      <b/>
      <sz val="16"/>
      <color rgb="FF000099"/>
      <name val="Aptos Narrow"/>
      <family val="2"/>
      <scheme val="minor"/>
    </font>
  </fonts>
  <fills count="17">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rgb="FFFFFF99"/>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FFCC"/>
        <bgColor indexed="64"/>
      </patternFill>
    </fill>
    <fill>
      <patternFill patternType="solid">
        <fgColor theme="2" tint="-0.499984740745262"/>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bottom style="thin">
        <color theme="1"/>
      </bottom>
      <diagonal/>
    </border>
    <border>
      <left style="medium">
        <color indexed="64"/>
      </left>
      <right/>
      <top/>
      <bottom style="medium">
        <color indexed="64"/>
      </bottom>
      <diagonal/>
    </border>
    <border>
      <left style="thin">
        <color theme="1"/>
      </left>
      <right style="thin">
        <color theme="1"/>
      </right>
      <top style="thin">
        <color theme="1"/>
      </top>
      <bottom/>
      <diagonal/>
    </border>
    <border>
      <left style="medium">
        <color indexed="64"/>
      </left>
      <right/>
      <top/>
      <bottom/>
      <diagonal/>
    </border>
    <border>
      <left/>
      <right style="medium">
        <color indexed="64"/>
      </right>
      <top/>
      <bottom/>
      <diagonal/>
    </border>
    <border>
      <left style="thin">
        <color indexed="64"/>
      </left>
      <right style="thin">
        <color indexed="64"/>
      </right>
      <top/>
      <bottom style="medium">
        <color indexed="64"/>
      </bottom>
      <diagonal/>
    </border>
    <border>
      <left style="thin">
        <color theme="1"/>
      </left>
      <right/>
      <top style="thin">
        <color theme="1"/>
      </top>
      <bottom/>
      <diagonal/>
    </border>
    <border>
      <left/>
      <right style="medium">
        <color theme="7" tint="-0.249977111117893"/>
      </right>
      <top/>
      <bottom style="medium">
        <color theme="7" tint="-0.249977111117893"/>
      </bottom>
      <diagonal/>
    </border>
    <border>
      <left style="thin">
        <color theme="1"/>
      </left>
      <right/>
      <top/>
      <bottom style="thin">
        <color theme="1"/>
      </bottom>
      <diagonal/>
    </border>
    <border>
      <left/>
      <right style="thin">
        <color theme="1"/>
      </right>
      <top/>
      <bottom style="thin">
        <color theme="1"/>
      </bottom>
      <diagonal/>
    </border>
    <border>
      <left style="medium">
        <color theme="7" tint="-0.249977111117893"/>
      </left>
      <right/>
      <top style="medium">
        <color theme="7" tint="-0.249977111117893"/>
      </top>
      <bottom style="medium">
        <color theme="7" tint="-0.249977111117893"/>
      </bottom>
      <diagonal/>
    </border>
    <border>
      <left/>
      <right/>
      <top style="medium">
        <color theme="7" tint="-0.249977111117893"/>
      </top>
      <bottom style="medium">
        <color theme="7" tint="-0.249977111117893"/>
      </bottom>
      <diagonal/>
    </border>
    <border>
      <left style="medium">
        <color theme="7" tint="-0.249977111117893"/>
      </left>
      <right/>
      <top/>
      <bottom style="thin">
        <color theme="1"/>
      </bottom>
      <diagonal/>
    </border>
    <border>
      <left style="thin">
        <color theme="1"/>
      </left>
      <right style="medium">
        <color theme="7" tint="-0.249977111117893"/>
      </right>
      <top/>
      <bottom style="thin">
        <color theme="1"/>
      </bottom>
      <diagonal/>
    </border>
    <border>
      <left style="medium">
        <color theme="7" tint="-0.249977111117893"/>
      </left>
      <right style="thin">
        <color theme="1"/>
      </right>
      <top style="thin">
        <color theme="1"/>
      </top>
      <bottom/>
      <diagonal/>
    </border>
    <border>
      <left style="thin">
        <color theme="1"/>
      </left>
      <right style="medium">
        <color theme="7" tint="-0.249977111117893"/>
      </right>
      <top style="thin">
        <color theme="1"/>
      </top>
      <bottom/>
      <diagonal/>
    </border>
    <border>
      <left style="thin">
        <color indexed="64"/>
      </left>
      <right style="medium">
        <color theme="7" tint="-0.249977111117893"/>
      </right>
      <top style="thin">
        <color indexed="64"/>
      </top>
      <bottom style="thin">
        <color indexed="64"/>
      </bottom>
      <diagonal/>
    </border>
    <border>
      <left style="medium">
        <color theme="7" tint="-0.249977111117893"/>
      </left>
      <right style="thin">
        <color theme="1"/>
      </right>
      <top/>
      <bottom style="thin">
        <color theme="1"/>
      </bottom>
      <diagonal/>
    </border>
    <border>
      <left style="medium">
        <color theme="7" tint="-0.249977111117893"/>
      </left>
      <right style="thin">
        <color theme="1"/>
      </right>
      <top style="thin">
        <color theme="1"/>
      </top>
      <bottom style="thin">
        <color theme="1"/>
      </bottom>
      <diagonal/>
    </border>
    <border>
      <left style="thin">
        <color theme="1"/>
      </left>
      <right style="medium">
        <color theme="7" tint="-0.249977111117893"/>
      </right>
      <top style="thin">
        <color theme="1"/>
      </top>
      <bottom style="thin">
        <color theme="1"/>
      </bottom>
      <diagonal/>
    </border>
    <border>
      <left/>
      <right style="medium">
        <color theme="7" tint="-0.249977111117893"/>
      </right>
      <top style="thin">
        <color theme="1"/>
      </top>
      <bottom style="thin">
        <color theme="1"/>
      </bottom>
      <diagonal/>
    </border>
    <border>
      <left style="medium">
        <color theme="7" tint="-0.249977111117893"/>
      </left>
      <right style="thin">
        <color theme="1"/>
      </right>
      <top style="thin">
        <color theme="1"/>
      </top>
      <bottom style="medium">
        <color theme="7" tint="-0.249977111117893"/>
      </bottom>
      <diagonal/>
    </border>
    <border>
      <left style="thin">
        <color indexed="64"/>
      </left>
      <right style="thin">
        <color indexed="64"/>
      </right>
      <top style="thin">
        <color indexed="64"/>
      </top>
      <bottom style="medium">
        <color theme="7" tint="-0.249977111117893"/>
      </bottom>
      <diagonal/>
    </border>
    <border>
      <left style="thin">
        <color theme="1"/>
      </left>
      <right style="medium">
        <color theme="7" tint="-0.249977111117893"/>
      </right>
      <top style="thin">
        <color theme="1"/>
      </top>
      <bottom style="medium">
        <color theme="7" tint="-0.249977111117893"/>
      </bottom>
      <diagonal/>
    </border>
    <border>
      <left/>
      <right/>
      <top/>
      <bottom style="medium">
        <color theme="7" tint="-0.249977111117893"/>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theme="7" tint="-0.249977111117893"/>
      </left>
      <right style="thin">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medium">
        <color theme="7" tint="-0.249977111117893"/>
      </left>
      <right/>
      <top style="thin">
        <color indexed="64"/>
      </top>
      <bottom/>
      <diagonal/>
    </border>
    <border>
      <left style="medium">
        <color theme="7" tint="-0.249977111117893"/>
      </left>
      <right/>
      <top/>
      <bottom/>
      <diagonal/>
    </border>
    <border>
      <left/>
      <right style="thin">
        <color theme="1"/>
      </right>
      <top style="thin">
        <color theme="1"/>
      </top>
      <bottom/>
      <diagonal/>
    </border>
    <border>
      <left style="thin">
        <color theme="1"/>
      </left>
      <right style="thin">
        <color theme="1"/>
      </right>
      <top/>
      <bottom style="medium">
        <color theme="7" tint="-0.249977111117893"/>
      </bottom>
      <diagonal/>
    </border>
    <border>
      <left style="thin">
        <color indexed="64"/>
      </left>
      <right style="thin">
        <color indexed="64"/>
      </right>
      <top/>
      <bottom/>
      <diagonal/>
    </border>
    <border>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s>
  <cellStyleXfs count="4">
    <xf numFmtId="0" fontId="0" fillId="0" borderId="0"/>
    <xf numFmtId="43" fontId="2" fillId="0" borderId="0" applyFont="0" applyFill="0" applyBorder="0" applyAlignment="0" applyProtection="0"/>
    <xf numFmtId="9" fontId="2" fillId="0" borderId="0" applyFont="0" applyFill="0" applyBorder="0" applyAlignment="0" applyProtection="0"/>
    <xf numFmtId="0" fontId="6" fillId="0" borderId="0" applyNumberFormat="0" applyFill="0" applyBorder="0" applyAlignment="0" applyProtection="0"/>
  </cellStyleXfs>
  <cellXfs count="264">
    <xf numFmtId="0" fontId="0" fillId="0" borderId="0" xfId="0"/>
    <xf numFmtId="0" fontId="0" fillId="3" borderId="0" xfId="0" applyFill="1"/>
    <xf numFmtId="0" fontId="0" fillId="3" borderId="0" xfId="0" applyFill="1" applyAlignment="1">
      <alignment horizontal="center" vertical="center"/>
    </xf>
    <xf numFmtId="0" fontId="8" fillId="3" borderId="0" xfId="0" applyFont="1" applyFill="1" applyAlignment="1">
      <alignment horizontal="center" vertical="center"/>
    </xf>
    <xf numFmtId="0" fontId="1" fillId="3" borderId="0" xfId="0" applyFont="1" applyFill="1"/>
    <xf numFmtId="0" fontId="8" fillId="3" borderId="0" xfId="0" applyFont="1" applyFill="1"/>
    <xf numFmtId="3" fontId="7" fillId="3" borderId="0" xfId="0" applyNumberFormat="1" applyFont="1" applyFill="1" applyAlignment="1">
      <alignment vertical="center"/>
    </xf>
    <xf numFmtId="0" fontId="1" fillId="7" borderId="8" xfId="0" applyFont="1" applyFill="1" applyBorder="1" applyAlignment="1" applyProtection="1">
      <alignment horizontal="center" vertical="center" wrapText="1"/>
      <protection hidden="1"/>
    </xf>
    <xf numFmtId="0" fontId="1" fillId="6" borderId="9" xfId="0" applyFont="1" applyFill="1" applyBorder="1" applyAlignment="1" applyProtection="1">
      <alignment horizontal="center" vertical="center"/>
      <protection hidden="1"/>
    </xf>
    <xf numFmtId="0" fontId="1" fillId="8" borderId="9" xfId="0" applyFont="1" applyFill="1" applyBorder="1" applyAlignment="1" applyProtection="1">
      <alignment horizontal="center" vertical="center" wrapText="1"/>
      <protection hidden="1"/>
    </xf>
    <xf numFmtId="0" fontId="1" fillId="9" borderId="9" xfId="0" applyFont="1" applyFill="1" applyBorder="1" applyAlignment="1" applyProtection="1">
      <alignment horizontal="center" vertical="center" wrapText="1"/>
      <protection hidden="1"/>
    </xf>
    <xf numFmtId="0" fontId="1" fillId="9" borderId="10" xfId="0" applyFont="1" applyFill="1" applyBorder="1" applyAlignment="1" applyProtection="1">
      <alignment horizontal="center" vertical="center"/>
      <protection hidden="1"/>
    </xf>
    <xf numFmtId="0" fontId="3" fillId="2" borderId="2" xfId="0" applyFont="1" applyFill="1" applyBorder="1" applyAlignment="1" applyProtection="1">
      <alignment vertical="center" wrapText="1"/>
      <protection hidden="1"/>
    </xf>
    <xf numFmtId="0" fontId="3" fillId="2" borderId="1" xfId="0" applyFont="1" applyFill="1" applyBorder="1" applyAlignment="1" applyProtection="1">
      <alignment vertical="center" wrapText="1"/>
      <protection hidden="1"/>
    </xf>
    <xf numFmtId="0" fontId="0" fillId="3" borderId="0" xfId="0" applyFill="1" applyProtection="1">
      <protection hidden="1"/>
    </xf>
    <xf numFmtId="0" fontId="0" fillId="0" borderId="0" xfId="0" applyProtection="1">
      <protection hidden="1"/>
    </xf>
    <xf numFmtId="0" fontId="8" fillId="0" borderId="0" xfId="0" applyFont="1" applyProtection="1">
      <protection hidden="1"/>
    </xf>
    <xf numFmtId="0" fontId="8" fillId="0" borderId="0" xfId="0" applyFont="1" applyProtection="1">
      <protection locked="0"/>
    </xf>
    <xf numFmtId="0" fontId="7" fillId="0" borderId="0" xfId="0" applyFont="1" applyAlignment="1" applyProtection="1">
      <alignment horizontal="center" wrapText="1"/>
      <protection hidden="1"/>
    </xf>
    <xf numFmtId="0" fontId="7" fillId="0" borderId="0" xfId="0" applyFont="1" applyProtection="1">
      <protection hidden="1"/>
    </xf>
    <xf numFmtId="0" fontId="7" fillId="0" borderId="0" xfId="0" applyFont="1" applyAlignment="1" applyProtection="1">
      <alignment horizontal="center" vertical="center" wrapText="1"/>
      <protection hidden="1"/>
    </xf>
    <xf numFmtId="0" fontId="8" fillId="0" borderId="0" xfId="0" applyFont="1" applyAlignment="1" applyProtection="1">
      <alignment vertical="center"/>
      <protection hidden="1"/>
    </xf>
    <xf numFmtId="0" fontId="7" fillId="0" borderId="0" xfId="0" applyFont="1" applyAlignment="1" applyProtection="1">
      <alignment horizontal="center" vertical="center"/>
      <protection hidden="1"/>
    </xf>
    <xf numFmtId="0" fontId="8" fillId="0" borderId="0" xfId="0" applyFont="1" applyAlignment="1" applyProtection="1">
      <alignment horizontal="left"/>
      <protection hidden="1"/>
    </xf>
    <xf numFmtId="0" fontId="8" fillId="0" borderId="0" xfId="0" applyFont="1" applyAlignment="1" applyProtection="1">
      <alignment horizontal="center" vertical="center"/>
      <protection hidden="1"/>
    </xf>
    <xf numFmtId="0" fontId="8" fillId="0" borderId="0" xfId="0" applyFont="1" applyAlignment="1" applyProtection="1">
      <alignment horizontal="left" vertical="center" wrapText="1"/>
      <protection hidden="1"/>
    </xf>
    <xf numFmtId="164" fontId="8" fillId="0" borderId="0" xfId="0" applyNumberFormat="1" applyFont="1" applyAlignment="1" applyProtection="1">
      <alignment horizontal="center" vertical="center"/>
      <protection hidden="1"/>
    </xf>
    <xf numFmtId="0" fontId="12" fillId="0" borderId="0" xfId="0" applyFont="1" applyAlignment="1" applyProtection="1">
      <alignment vertical="center" wrapText="1"/>
      <protection hidden="1"/>
    </xf>
    <xf numFmtId="165" fontId="8" fillId="0" borderId="0" xfId="0" applyNumberFormat="1" applyFont="1" applyAlignment="1" applyProtection="1">
      <alignment horizontal="center" vertical="center"/>
      <protection hidden="1"/>
    </xf>
    <xf numFmtId="0" fontId="8" fillId="0" borderId="0" xfId="0" applyFont="1"/>
    <xf numFmtId="0" fontId="8" fillId="0" borderId="0" xfId="0" applyFont="1" applyAlignment="1" applyProtection="1">
      <alignment vertical="center" wrapText="1"/>
      <protection hidden="1"/>
    </xf>
    <xf numFmtId="9" fontId="8" fillId="0" borderId="0" xfId="2" applyFont="1" applyFill="1" applyBorder="1" applyAlignment="1" applyProtection="1">
      <alignment horizontal="center" vertical="center"/>
      <protection hidden="1"/>
    </xf>
    <xf numFmtId="9" fontId="8" fillId="0" borderId="0" xfId="0" applyNumberFormat="1" applyFont="1" applyAlignment="1" applyProtection="1">
      <alignment horizontal="center" vertical="center"/>
      <protection hidden="1"/>
    </xf>
    <xf numFmtId="3" fontId="8" fillId="0" borderId="0" xfId="0" applyNumberFormat="1" applyFont="1" applyAlignment="1" applyProtection="1">
      <alignment horizontal="center" vertical="center"/>
      <protection hidden="1"/>
    </xf>
    <xf numFmtId="3" fontId="8" fillId="0" borderId="0" xfId="1" applyNumberFormat="1" applyFont="1" applyFill="1" applyBorder="1" applyAlignment="1" applyProtection="1">
      <alignment horizontal="center" vertical="center"/>
      <protection hidden="1"/>
    </xf>
    <xf numFmtId="0" fontId="13" fillId="0" borderId="0" xfId="0" applyFont="1" applyAlignment="1" applyProtection="1">
      <alignment horizontal="center" vertical="center"/>
      <protection hidden="1"/>
    </xf>
    <xf numFmtId="0" fontId="14" fillId="0" borderId="0" xfId="0" applyFont="1" applyAlignment="1" applyProtection="1">
      <alignment horizontal="center" vertical="center"/>
      <protection hidden="1"/>
    </xf>
    <xf numFmtId="0" fontId="8" fillId="0" borderId="0" xfId="0" applyFont="1" applyAlignment="1" applyProtection="1">
      <alignment horizontal="left" vertical="center"/>
      <protection hidden="1"/>
    </xf>
    <xf numFmtId="164" fontId="8" fillId="0" borderId="0" xfId="0" applyNumberFormat="1" applyFont="1" applyAlignment="1" applyProtection="1">
      <alignment horizontal="left" vertical="center" wrapText="1"/>
      <protection hidden="1"/>
    </xf>
    <xf numFmtId="0" fontId="12" fillId="0" borderId="0" xfId="0" applyFont="1" applyAlignment="1" applyProtection="1">
      <alignment horizontal="left" vertical="center" wrapText="1"/>
      <protection hidden="1"/>
    </xf>
    <xf numFmtId="0" fontId="1" fillId="3" borderId="0" xfId="0" applyFont="1" applyFill="1" applyAlignment="1">
      <alignment horizontal="center" vertical="center"/>
    </xf>
    <xf numFmtId="0" fontId="0" fillId="3" borderId="0" xfId="0" applyFill="1" applyAlignment="1" applyProtection="1">
      <alignment wrapText="1"/>
      <protection hidden="1"/>
    </xf>
    <xf numFmtId="0" fontId="1" fillId="4" borderId="19" xfId="0" applyFont="1" applyFill="1" applyBorder="1" applyAlignment="1" applyProtection="1">
      <alignment vertical="top" wrapText="1"/>
      <protection hidden="1"/>
    </xf>
    <xf numFmtId="0" fontId="0" fillId="4" borderId="19" xfId="0" applyFill="1" applyBorder="1" applyAlignment="1" applyProtection="1">
      <alignment vertical="top" wrapText="1"/>
      <protection hidden="1"/>
    </xf>
    <xf numFmtId="0" fontId="0" fillId="4" borderId="17" xfId="0" applyFill="1" applyBorder="1" applyAlignment="1" applyProtection="1">
      <alignment vertical="top" wrapText="1"/>
      <protection hidden="1"/>
    </xf>
    <xf numFmtId="0" fontId="1" fillId="4" borderId="21" xfId="0" applyFont="1" applyFill="1" applyBorder="1" applyAlignment="1" applyProtection="1">
      <alignment vertical="top" wrapText="1"/>
      <protection hidden="1"/>
    </xf>
    <xf numFmtId="0" fontId="0" fillId="4" borderId="21" xfId="0" applyFill="1" applyBorder="1" applyAlignment="1" applyProtection="1">
      <alignment vertical="top" wrapText="1"/>
      <protection hidden="1"/>
    </xf>
    <xf numFmtId="0" fontId="1" fillId="4" borderId="1" xfId="0" applyFont="1" applyFill="1" applyBorder="1" applyAlignment="1" applyProtection="1">
      <alignment vertical="top" wrapText="1"/>
      <protection hidden="1"/>
    </xf>
    <xf numFmtId="0" fontId="0" fillId="4" borderId="1" xfId="0" applyFill="1" applyBorder="1" applyAlignment="1" applyProtection="1">
      <alignment vertical="top" wrapText="1"/>
      <protection hidden="1"/>
    </xf>
    <xf numFmtId="0" fontId="1" fillId="4" borderId="18" xfId="0" applyFont="1" applyFill="1" applyBorder="1" applyAlignment="1" applyProtection="1">
      <alignment vertical="top" wrapText="1"/>
      <protection hidden="1"/>
    </xf>
    <xf numFmtId="0" fontId="0" fillId="0" borderId="0" xfId="0" applyAlignment="1" applyProtection="1">
      <alignment wrapText="1"/>
      <protection hidden="1"/>
    </xf>
    <xf numFmtId="0" fontId="11" fillId="3" borderId="0" xfId="0" applyFont="1" applyFill="1" applyProtection="1">
      <protection hidden="1"/>
    </xf>
    <xf numFmtId="0" fontId="1" fillId="3" borderId="0" xfId="0" applyFont="1" applyFill="1" applyAlignment="1" applyProtection="1">
      <alignment horizontal="right" vertical="top"/>
      <protection hidden="1"/>
    </xf>
    <xf numFmtId="0" fontId="1" fillId="3" borderId="0" xfId="0" applyFont="1" applyFill="1" applyAlignment="1" applyProtection="1">
      <alignment vertical="top"/>
      <protection hidden="1"/>
    </xf>
    <xf numFmtId="0" fontId="16" fillId="8" borderId="29" xfId="3" applyFont="1" applyFill="1" applyBorder="1" applyAlignment="1" applyProtection="1">
      <protection hidden="1"/>
    </xf>
    <xf numFmtId="0" fontId="1" fillId="8" borderId="30" xfId="0" applyFont="1" applyFill="1" applyBorder="1" applyAlignment="1" applyProtection="1">
      <alignment horizontal="right" vertical="top"/>
      <protection hidden="1"/>
    </xf>
    <xf numFmtId="0" fontId="1" fillId="2" borderId="32" xfId="0" applyFont="1" applyFill="1" applyBorder="1" applyAlignment="1" applyProtection="1">
      <alignment vertical="top" wrapText="1"/>
      <protection hidden="1"/>
    </xf>
    <xf numFmtId="0" fontId="0" fillId="2" borderId="34" xfId="0" applyFill="1" applyBorder="1" applyAlignment="1" applyProtection="1">
      <alignment vertical="top" wrapText="1"/>
      <protection hidden="1"/>
    </xf>
    <xf numFmtId="0" fontId="0" fillId="2" borderId="35" xfId="0" applyFill="1" applyBorder="1" applyAlignment="1" applyProtection="1">
      <alignment vertical="top" wrapText="1"/>
      <protection hidden="1"/>
    </xf>
    <xf numFmtId="0" fontId="0" fillId="2" borderId="32" xfId="0" applyFill="1" applyBorder="1" applyAlignment="1" applyProtection="1">
      <alignment vertical="top" wrapText="1"/>
      <protection hidden="1"/>
    </xf>
    <xf numFmtId="0" fontId="0" fillId="2" borderId="38" xfId="0" applyFill="1" applyBorder="1" applyAlignment="1" applyProtection="1">
      <alignment vertical="top" wrapText="1"/>
      <protection hidden="1"/>
    </xf>
    <xf numFmtId="0" fontId="0" fillId="2" borderId="39" xfId="0" applyFill="1" applyBorder="1" applyAlignment="1" applyProtection="1">
      <alignment vertical="top" wrapText="1"/>
      <protection hidden="1"/>
    </xf>
    <xf numFmtId="0" fontId="10" fillId="4" borderId="0" xfId="0" applyFont="1" applyFill="1" applyAlignment="1" applyProtection="1">
      <alignment vertical="top" wrapText="1"/>
      <protection hidden="1"/>
    </xf>
    <xf numFmtId="0" fontId="1" fillId="4" borderId="41" xfId="0" applyFont="1" applyFill="1" applyBorder="1" applyAlignment="1" applyProtection="1">
      <alignment vertical="top" wrapText="1"/>
      <protection hidden="1"/>
    </xf>
    <xf numFmtId="0" fontId="0" fillId="4" borderId="41" xfId="0" applyFill="1" applyBorder="1" applyAlignment="1" applyProtection="1">
      <alignment vertical="top" wrapText="1"/>
      <protection hidden="1"/>
    </xf>
    <xf numFmtId="0" fontId="0" fillId="2" borderId="42" xfId="0" applyFill="1" applyBorder="1" applyAlignment="1" applyProtection="1">
      <alignment vertical="top" wrapText="1"/>
      <protection hidden="1"/>
    </xf>
    <xf numFmtId="0" fontId="1" fillId="8" borderId="3" xfId="0" applyFont="1" applyFill="1" applyBorder="1" applyProtection="1">
      <protection hidden="1"/>
    </xf>
    <xf numFmtId="0" fontId="0" fillId="8" borderId="14" xfId="0" applyFill="1" applyBorder="1" applyProtection="1">
      <protection hidden="1"/>
    </xf>
    <xf numFmtId="0" fontId="1" fillId="8" borderId="14" xfId="0" applyFont="1" applyFill="1" applyBorder="1" applyProtection="1">
      <protection hidden="1"/>
    </xf>
    <xf numFmtId="0" fontId="0" fillId="8" borderId="4" xfId="0" applyFill="1" applyBorder="1" applyProtection="1">
      <protection hidden="1"/>
    </xf>
    <xf numFmtId="0" fontId="1" fillId="8" borderId="11" xfId="0" applyFont="1" applyFill="1" applyBorder="1" applyProtection="1">
      <protection hidden="1"/>
    </xf>
    <xf numFmtId="0" fontId="0" fillId="8" borderId="12" xfId="0" applyFill="1" applyBorder="1" applyProtection="1">
      <protection hidden="1"/>
    </xf>
    <xf numFmtId="0" fontId="0" fillId="8" borderId="13" xfId="0" applyFill="1" applyBorder="1" applyProtection="1">
      <protection hidden="1"/>
    </xf>
    <xf numFmtId="0" fontId="0" fillId="8" borderId="22" xfId="0" applyFill="1" applyBorder="1" applyAlignment="1" applyProtection="1">
      <alignment horizontal="left"/>
      <protection hidden="1"/>
    </xf>
    <xf numFmtId="0" fontId="0" fillId="8" borderId="0" xfId="0" applyFill="1" applyProtection="1">
      <protection hidden="1"/>
    </xf>
    <xf numFmtId="0" fontId="0" fillId="8" borderId="23" xfId="0" applyFill="1" applyBorder="1" applyProtection="1">
      <protection hidden="1"/>
    </xf>
    <xf numFmtId="0" fontId="0" fillId="8" borderId="22" xfId="0" applyFill="1" applyBorder="1" applyAlignment="1" applyProtection="1">
      <alignment horizontal="left" indent="2"/>
      <protection hidden="1"/>
    </xf>
    <xf numFmtId="0" fontId="0" fillId="8" borderId="22" xfId="0" applyFill="1" applyBorder="1" applyProtection="1">
      <protection hidden="1"/>
    </xf>
    <xf numFmtId="0" fontId="0" fillId="8" borderId="22" xfId="0" applyFill="1" applyBorder="1" applyAlignment="1" applyProtection="1">
      <alignment horizontal="left" indent="5"/>
      <protection hidden="1"/>
    </xf>
    <xf numFmtId="0" fontId="0" fillId="8" borderId="20" xfId="0" applyFill="1" applyBorder="1" applyAlignment="1" applyProtection="1">
      <alignment horizontal="left" indent="5"/>
      <protection hidden="1"/>
    </xf>
    <xf numFmtId="0" fontId="0" fillId="8" borderId="15" xfId="0" applyFill="1" applyBorder="1" applyProtection="1">
      <protection hidden="1"/>
    </xf>
    <xf numFmtId="0" fontId="0" fillId="8" borderId="16" xfId="0" applyFill="1" applyBorder="1" applyProtection="1">
      <protection hidden="1"/>
    </xf>
    <xf numFmtId="0" fontId="1" fillId="8" borderId="11" xfId="0" applyFont="1" applyFill="1" applyBorder="1" applyAlignment="1" applyProtection="1">
      <alignment vertical="top"/>
      <protection hidden="1"/>
    </xf>
    <xf numFmtId="0" fontId="0" fillId="8" borderId="20" xfId="0" applyFill="1" applyBorder="1" applyAlignment="1" applyProtection="1">
      <alignment horizontal="left"/>
      <protection hidden="1"/>
    </xf>
    <xf numFmtId="0" fontId="0" fillId="8" borderId="43" xfId="0" applyFill="1" applyBorder="1" applyProtection="1">
      <protection hidden="1"/>
    </xf>
    <xf numFmtId="0" fontId="0" fillId="8" borderId="26" xfId="0" applyFill="1" applyBorder="1" applyProtection="1">
      <protection hidden="1"/>
    </xf>
    <xf numFmtId="0" fontId="0" fillId="0" borderId="22" xfId="0" applyBorder="1" applyProtection="1">
      <protection hidden="1"/>
    </xf>
    <xf numFmtId="0" fontId="0" fillId="0" borderId="23" xfId="0" applyBorder="1" applyAlignment="1" applyProtection="1">
      <alignment wrapText="1"/>
      <protection hidden="1"/>
    </xf>
    <xf numFmtId="0" fontId="0" fillId="8" borderId="23" xfId="0" applyFill="1" applyBorder="1" applyAlignment="1" applyProtection="1">
      <alignment horizontal="left" wrapText="1"/>
      <protection hidden="1"/>
    </xf>
    <xf numFmtId="0" fontId="0" fillId="3" borderId="22" xfId="0" applyFill="1" applyBorder="1" applyProtection="1">
      <protection hidden="1"/>
    </xf>
    <xf numFmtId="0" fontId="0" fillId="3" borderId="23" xfId="0" applyFill="1" applyBorder="1" applyAlignment="1" applyProtection="1">
      <alignment horizontal="left" wrapText="1"/>
      <protection hidden="1"/>
    </xf>
    <xf numFmtId="0" fontId="0" fillId="3" borderId="23" xfId="0" applyFill="1" applyBorder="1" applyProtection="1">
      <protection hidden="1"/>
    </xf>
    <xf numFmtId="0" fontId="0" fillId="3" borderId="22" xfId="0" applyFill="1" applyBorder="1" applyAlignment="1" applyProtection="1">
      <alignment horizontal="left"/>
      <protection hidden="1"/>
    </xf>
    <xf numFmtId="0" fontId="0" fillId="3" borderId="20" xfId="0" applyFill="1" applyBorder="1" applyProtection="1">
      <protection hidden="1"/>
    </xf>
    <xf numFmtId="0" fontId="0" fillId="3" borderId="16" xfId="0" applyFill="1" applyBorder="1" applyProtection="1">
      <protection hidden="1"/>
    </xf>
    <xf numFmtId="0" fontId="17" fillId="3" borderId="0" xfId="3" applyFont="1" applyFill="1" applyAlignment="1" applyProtection="1">
      <protection hidden="1"/>
    </xf>
    <xf numFmtId="0" fontId="0" fillId="0" borderId="22" xfId="0" applyBorder="1"/>
    <xf numFmtId="0" fontId="0" fillId="8" borderId="30" xfId="0" applyFill="1" applyBorder="1"/>
    <xf numFmtId="0" fontId="0" fillId="8" borderId="22" xfId="0" applyFill="1" applyBorder="1"/>
    <xf numFmtId="0" fontId="0" fillId="8" borderId="0" xfId="0" applyFill="1"/>
    <xf numFmtId="0" fontId="0" fillId="2" borderId="0" xfId="0" applyFill="1" applyAlignment="1">
      <alignment horizontal="center"/>
    </xf>
    <xf numFmtId="0" fontId="0" fillId="11" borderId="0" xfId="0" applyFill="1" applyAlignment="1">
      <alignment horizontal="center"/>
    </xf>
    <xf numFmtId="0" fontId="0" fillId="10" borderId="0" xfId="0" applyFill="1" applyAlignment="1">
      <alignment horizontal="center"/>
    </xf>
    <xf numFmtId="0" fontId="0" fillId="12" borderId="0" xfId="0" applyFill="1" applyAlignment="1">
      <alignment horizontal="center"/>
    </xf>
    <xf numFmtId="0" fontId="0" fillId="13" borderId="0" xfId="0" applyFill="1" applyAlignment="1">
      <alignment horizontal="center"/>
    </xf>
    <xf numFmtId="0" fontId="1" fillId="14" borderId="0" xfId="0" applyFont="1" applyFill="1" applyAlignment="1">
      <alignment horizontal="center"/>
    </xf>
    <xf numFmtId="0" fontId="0" fillId="14" borderId="0" xfId="0" applyFill="1" applyAlignment="1">
      <alignment horizontal="center"/>
    </xf>
    <xf numFmtId="0" fontId="3" fillId="3" borderId="0" xfId="0" applyFont="1" applyFill="1" applyAlignment="1">
      <alignment wrapText="1"/>
    </xf>
    <xf numFmtId="0" fontId="19" fillId="0" borderId="0" xfId="0" applyFont="1"/>
    <xf numFmtId="0" fontId="1" fillId="3" borderId="0" xfId="0" applyFont="1" applyFill="1" applyAlignment="1" applyProtection="1">
      <alignment vertical="center"/>
      <protection hidden="1"/>
    </xf>
    <xf numFmtId="0" fontId="0" fillId="4" borderId="28" xfId="0" applyFill="1" applyBorder="1" applyAlignment="1" applyProtection="1">
      <alignment vertical="top" wrapText="1"/>
      <protection hidden="1"/>
    </xf>
    <xf numFmtId="0" fontId="21" fillId="3" borderId="0" xfId="0" applyFont="1" applyFill="1" applyProtection="1">
      <protection hidden="1"/>
    </xf>
    <xf numFmtId="0" fontId="21" fillId="0" borderId="0" xfId="0" applyFont="1"/>
    <xf numFmtId="0" fontId="1" fillId="4" borderId="58" xfId="0" applyFont="1" applyFill="1" applyBorder="1" applyAlignment="1" applyProtection="1">
      <alignment vertical="top" wrapText="1"/>
      <protection hidden="1"/>
    </xf>
    <xf numFmtId="0" fontId="1" fillId="9" borderId="9" xfId="0" quotePrefix="1" applyFont="1" applyFill="1" applyBorder="1" applyAlignment="1" applyProtection="1">
      <alignment horizontal="center" vertical="center" wrapText="1"/>
      <protection hidden="1"/>
    </xf>
    <xf numFmtId="0" fontId="1" fillId="8" borderId="63" xfId="0" applyFont="1" applyFill="1" applyBorder="1" applyAlignment="1" applyProtection="1">
      <alignment horizontal="center" vertical="center" wrapText="1"/>
      <protection hidden="1"/>
    </xf>
    <xf numFmtId="0" fontId="1" fillId="9" borderId="50" xfId="0" applyFont="1" applyFill="1" applyBorder="1" applyAlignment="1" applyProtection="1">
      <alignment horizontal="center" vertical="center" wrapText="1"/>
      <protection hidden="1"/>
    </xf>
    <xf numFmtId="0" fontId="3" fillId="2" borderId="46" xfId="0" applyFont="1" applyFill="1" applyBorder="1" applyAlignment="1" applyProtection="1">
      <alignment vertical="center" wrapText="1"/>
      <protection hidden="1"/>
    </xf>
    <xf numFmtId="0" fontId="3" fillId="2" borderId="45" xfId="0" applyFont="1" applyFill="1" applyBorder="1" applyAlignment="1" applyProtection="1">
      <alignment vertical="center" wrapText="1"/>
      <protection hidden="1"/>
    </xf>
    <xf numFmtId="0" fontId="1" fillId="9" borderId="8" xfId="0" applyFont="1" applyFill="1" applyBorder="1" applyAlignment="1" applyProtection="1">
      <alignment horizontal="center" vertical="center"/>
      <protection hidden="1"/>
    </xf>
    <xf numFmtId="0" fontId="1" fillId="9" borderId="10" xfId="0" quotePrefix="1" applyFont="1" applyFill="1" applyBorder="1" applyAlignment="1" applyProtection="1">
      <alignment horizontal="center" vertical="center" wrapText="1"/>
      <protection hidden="1"/>
    </xf>
    <xf numFmtId="0" fontId="1" fillId="15" borderId="31" xfId="0" applyFont="1" applyFill="1" applyBorder="1" applyAlignment="1" applyProtection="1">
      <alignment horizontal="left"/>
      <protection hidden="1"/>
    </xf>
    <xf numFmtId="0" fontId="1" fillId="15" borderId="28" xfId="0" applyFont="1" applyFill="1" applyBorder="1" applyAlignment="1" applyProtection="1">
      <alignment horizontal="left" wrapText="1"/>
      <protection hidden="1"/>
    </xf>
    <xf numFmtId="0" fontId="1" fillId="15" borderId="33" xfId="0" applyFont="1" applyFill="1" applyBorder="1" applyAlignment="1" applyProtection="1">
      <alignment horizontal="left" vertical="top" wrapText="1"/>
      <protection hidden="1"/>
    </xf>
    <xf numFmtId="0" fontId="0" fillId="15" borderId="1" xfId="0" applyFill="1" applyBorder="1" applyAlignment="1" applyProtection="1">
      <alignment vertical="top" wrapText="1"/>
      <protection hidden="1"/>
    </xf>
    <xf numFmtId="0" fontId="1" fillId="15" borderId="51" xfId="0" applyFont="1" applyFill="1" applyBorder="1" applyAlignment="1" applyProtection="1">
      <alignment vertical="top" wrapText="1"/>
      <protection hidden="1"/>
    </xf>
    <xf numFmtId="0" fontId="0" fillId="15" borderId="21" xfId="0" applyFill="1" applyBorder="1" applyAlignment="1" applyProtection="1">
      <alignment horizontal="left" vertical="top" wrapText="1"/>
      <protection hidden="1"/>
    </xf>
    <xf numFmtId="0" fontId="1" fillId="15" borderId="1" xfId="0" applyFont="1" applyFill="1" applyBorder="1" applyAlignment="1" applyProtection="1">
      <alignment vertical="top" wrapText="1"/>
      <protection hidden="1"/>
    </xf>
    <xf numFmtId="0" fontId="1" fillId="15" borderId="36" xfId="0" applyFont="1" applyFill="1" applyBorder="1" applyAlignment="1" applyProtection="1">
      <alignment vertical="top" wrapText="1"/>
      <protection hidden="1"/>
    </xf>
    <xf numFmtId="0" fontId="0" fillId="15" borderId="19" xfId="0" applyFill="1" applyBorder="1" applyAlignment="1" applyProtection="1">
      <alignment vertical="top" wrapText="1"/>
      <protection hidden="1"/>
    </xf>
    <xf numFmtId="0" fontId="1" fillId="15" borderId="37" xfId="0" applyFont="1" applyFill="1" applyBorder="1" applyAlignment="1" applyProtection="1">
      <alignment vertical="top" wrapText="1"/>
      <protection hidden="1"/>
    </xf>
    <xf numFmtId="0" fontId="0" fillId="15" borderId="17" xfId="0" applyFill="1" applyBorder="1" applyAlignment="1" applyProtection="1">
      <alignment vertical="top" wrapText="1"/>
      <protection hidden="1"/>
    </xf>
    <xf numFmtId="0" fontId="1" fillId="15" borderId="33" xfId="0" applyFont="1" applyFill="1" applyBorder="1" applyAlignment="1" applyProtection="1">
      <alignment vertical="top" wrapText="1"/>
      <protection hidden="1"/>
    </xf>
    <xf numFmtId="0" fontId="0" fillId="15" borderId="25" xfId="0" applyFill="1" applyBorder="1" applyAlignment="1" applyProtection="1">
      <alignment vertical="top" wrapText="1"/>
      <protection hidden="1"/>
    </xf>
    <xf numFmtId="0" fontId="1" fillId="15" borderId="40" xfId="0" applyFont="1" applyFill="1" applyBorder="1" applyAlignment="1" applyProtection="1">
      <alignment vertical="top" wrapText="1"/>
      <protection hidden="1"/>
    </xf>
    <xf numFmtId="0" fontId="0" fillId="15" borderId="59" xfId="0" applyFill="1" applyBorder="1" applyAlignment="1" applyProtection="1">
      <alignment vertical="top" wrapText="1"/>
      <protection hidden="1"/>
    </xf>
    <xf numFmtId="0" fontId="0" fillId="15" borderId="47" xfId="0" applyFill="1" applyBorder="1" applyAlignment="1" applyProtection="1">
      <alignment horizontal="center" vertical="center" wrapText="1"/>
      <protection locked="0"/>
    </xf>
    <xf numFmtId="0" fontId="0" fillId="15" borderId="5" xfId="0" applyFill="1" applyBorder="1" applyAlignment="1" applyProtection="1">
      <alignment horizontal="center" vertical="center" wrapText="1"/>
      <protection locked="0"/>
    </xf>
    <xf numFmtId="0" fontId="0" fillId="15" borderId="6" xfId="0" applyFill="1" applyBorder="1" applyAlignment="1" applyProtection="1">
      <alignment horizontal="center" vertical="center" wrapText="1"/>
      <protection locked="0"/>
    </xf>
    <xf numFmtId="0" fontId="0" fillId="5" borderId="48" xfId="0" applyFill="1" applyBorder="1" applyAlignment="1" applyProtection="1">
      <alignment horizontal="left" vertical="center" wrapText="1"/>
      <protection locked="0"/>
    </xf>
    <xf numFmtId="0" fontId="0" fillId="5" borderId="2" xfId="0" applyFill="1" applyBorder="1" applyAlignment="1" applyProtection="1">
      <alignment horizontal="left" vertical="center" wrapText="1"/>
      <protection locked="0"/>
    </xf>
    <xf numFmtId="0" fontId="0" fillId="5" borderId="24" xfId="0" applyFill="1" applyBorder="1" applyAlignment="1" applyProtection="1">
      <alignment horizontal="left" vertical="center" wrapText="1"/>
      <protection locked="0"/>
    </xf>
    <xf numFmtId="0" fontId="0" fillId="15" borderId="44" xfId="0" applyFill="1" applyBorder="1" applyAlignment="1" applyProtection="1">
      <alignment vertical="top" wrapText="1"/>
      <protection hidden="1"/>
    </xf>
    <xf numFmtId="0" fontId="0" fillId="15" borderId="60" xfId="0" applyFill="1" applyBorder="1" applyAlignment="1" applyProtection="1">
      <alignment vertical="top" wrapText="1"/>
      <protection hidden="1"/>
    </xf>
    <xf numFmtId="0" fontId="0" fillId="15" borderId="2" xfId="0" applyFill="1" applyBorder="1" applyAlignment="1" applyProtection="1">
      <alignment vertical="top" wrapText="1"/>
      <protection hidden="1"/>
    </xf>
    <xf numFmtId="0" fontId="0" fillId="3" borderId="0" xfId="0" applyFill="1" applyAlignment="1">
      <alignment vertical="center"/>
    </xf>
    <xf numFmtId="9" fontId="8" fillId="3" borderId="0" xfId="0" applyNumberFormat="1" applyFont="1" applyFill="1" applyAlignment="1">
      <alignment vertical="center"/>
    </xf>
    <xf numFmtId="9" fontId="8" fillId="3" borderId="0" xfId="0" applyNumberFormat="1" applyFont="1" applyFill="1" applyAlignment="1">
      <alignment vertical="center" wrapText="1"/>
    </xf>
    <xf numFmtId="0" fontId="8" fillId="3" borderId="0" xfId="0" applyFont="1" applyFill="1" applyAlignment="1">
      <alignment vertical="center"/>
    </xf>
    <xf numFmtId="0" fontId="8" fillId="3" borderId="0" xfId="0" applyFont="1" applyFill="1" applyAlignment="1" applyProtection="1">
      <alignment horizontal="center" vertical="center"/>
      <protection hidden="1"/>
    </xf>
    <xf numFmtId="0" fontId="1" fillId="13" borderId="21" xfId="0" applyFont="1" applyFill="1" applyBorder="1" applyAlignment="1" applyProtection="1">
      <alignment vertical="top" wrapText="1"/>
      <protection hidden="1"/>
    </xf>
    <xf numFmtId="0" fontId="0" fillId="13" borderId="21" xfId="0" applyFill="1" applyBorder="1" applyAlignment="1" applyProtection="1">
      <alignment vertical="top" wrapText="1"/>
      <protection hidden="1"/>
    </xf>
    <xf numFmtId="0" fontId="1" fillId="13" borderId="44" xfId="0" applyFont="1" applyFill="1" applyBorder="1" applyAlignment="1" applyProtection="1">
      <alignment vertical="top" wrapText="1"/>
      <protection hidden="1"/>
    </xf>
    <xf numFmtId="0" fontId="0" fillId="13" borderId="1" xfId="0" applyFill="1" applyBorder="1" applyAlignment="1" applyProtection="1">
      <alignment vertical="top" wrapText="1"/>
      <protection hidden="1"/>
    </xf>
    <xf numFmtId="0" fontId="30" fillId="0" borderId="0" xfId="3" applyFont="1"/>
    <xf numFmtId="0" fontId="1" fillId="8" borderId="22" xfId="0" applyFont="1" applyFill="1" applyBorder="1"/>
    <xf numFmtId="0" fontId="0" fillId="8" borderId="23" xfId="0" applyFill="1" applyBorder="1" applyAlignment="1" applyProtection="1">
      <alignment wrapText="1"/>
      <protection hidden="1"/>
    </xf>
    <xf numFmtId="0" fontId="0" fillId="8" borderId="14" xfId="0" applyFill="1" applyBorder="1" applyAlignment="1" applyProtection="1">
      <alignment wrapText="1"/>
      <protection hidden="1"/>
    </xf>
    <xf numFmtId="0" fontId="0" fillId="8" borderId="14" xfId="0" applyFill="1" applyBorder="1"/>
    <xf numFmtId="0" fontId="0" fillId="8" borderId="4" xfId="0" applyFill="1" applyBorder="1"/>
    <xf numFmtId="0" fontId="0" fillId="0" borderId="0" xfId="0" applyAlignment="1">
      <alignment horizontal="center"/>
    </xf>
    <xf numFmtId="0" fontId="1" fillId="6" borderId="64" xfId="0" applyFont="1" applyFill="1" applyBorder="1" applyAlignment="1" applyProtection="1">
      <alignment vertical="center"/>
      <protection hidden="1"/>
    </xf>
    <xf numFmtId="0" fontId="1" fillId="6" borderId="65" xfId="0" applyFont="1" applyFill="1" applyBorder="1" applyAlignment="1" applyProtection="1">
      <alignment vertical="center"/>
      <protection hidden="1"/>
    </xf>
    <xf numFmtId="0" fontId="27" fillId="8" borderId="63" xfId="0" applyFont="1" applyFill="1" applyBorder="1" applyAlignment="1">
      <alignment vertical="center"/>
    </xf>
    <xf numFmtId="0" fontId="9" fillId="9" borderId="72" xfId="0" applyFont="1" applyFill="1" applyBorder="1" applyAlignment="1" applyProtection="1">
      <alignment horizontal="center" vertical="center"/>
      <protection hidden="1"/>
    </xf>
    <xf numFmtId="0" fontId="24" fillId="9" borderId="74" xfId="0" applyFont="1" applyFill="1" applyBorder="1" applyAlignment="1" applyProtection="1">
      <alignment vertical="center"/>
      <protection hidden="1"/>
    </xf>
    <xf numFmtId="0" fontId="28" fillId="13" borderId="52" xfId="0" applyFont="1" applyFill="1" applyBorder="1" applyAlignment="1" applyProtection="1">
      <alignment horizontal="left" vertical="center" indent="3"/>
      <protection hidden="1"/>
    </xf>
    <xf numFmtId="0" fontId="28" fillId="13" borderId="53" xfId="0" applyFont="1" applyFill="1" applyBorder="1" applyAlignment="1" applyProtection="1">
      <alignment horizontal="left" vertical="center" indent="3"/>
      <protection hidden="1"/>
    </xf>
    <xf numFmtId="0" fontId="7" fillId="0" borderId="0" xfId="0" applyFont="1" applyAlignment="1" applyProtection="1">
      <alignment horizontal="center"/>
      <protection hidden="1"/>
    </xf>
    <xf numFmtId="0" fontId="8" fillId="0" borderId="0" xfId="0" applyFont="1" applyAlignment="1" applyProtection="1">
      <alignment horizontal="center" vertical="center" wrapText="1"/>
      <protection hidden="1"/>
    </xf>
    <xf numFmtId="0" fontId="33" fillId="15" borderId="1" xfId="0" applyFont="1" applyFill="1" applyBorder="1" applyAlignment="1" applyProtection="1">
      <alignment vertical="top" wrapText="1"/>
      <protection hidden="1"/>
    </xf>
    <xf numFmtId="0" fontId="1" fillId="4" borderId="66" xfId="0" applyFont="1" applyFill="1" applyBorder="1" applyAlignment="1" applyProtection="1">
      <alignment horizontal="center" vertical="center"/>
      <protection hidden="1"/>
    </xf>
    <xf numFmtId="0" fontId="1" fillId="4" borderId="67" xfId="0" applyFont="1" applyFill="1" applyBorder="1" applyAlignment="1" applyProtection="1">
      <alignment horizontal="center" vertical="center"/>
      <protection hidden="1"/>
    </xf>
    <xf numFmtId="3" fontId="0" fillId="15" borderId="48" xfId="0" applyNumberFormat="1" applyFill="1" applyBorder="1" applyAlignment="1" applyProtection="1">
      <alignment horizontal="center" vertical="center"/>
      <protection locked="0"/>
    </xf>
    <xf numFmtId="0" fontId="0" fillId="15" borderId="48" xfId="0" applyFill="1" applyBorder="1" applyAlignment="1" applyProtection="1">
      <alignment horizontal="center" vertical="center"/>
      <protection locked="0"/>
    </xf>
    <xf numFmtId="0" fontId="0" fillId="15" borderId="49" xfId="0" applyFill="1" applyBorder="1" applyAlignment="1" applyProtection="1">
      <alignment horizontal="center" vertical="center"/>
      <protection locked="0"/>
    </xf>
    <xf numFmtId="3" fontId="0" fillId="15" borderId="2" xfId="0" applyNumberFormat="1" applyFill="1" applyBorder="1" applyAlignment="1" applyProtection="1">
      <alignment horizontal="center" vertical="center"/>
      <protection locked="0"/>
    </xf>
    <xf numFmtId="0" fontId="0" fillId="15" borderId="2" xfId="0" applyFill="1" applyBorder="1" applyAlignment="1" applyProtection="1">
      <alignment horizontal="center" vertical="center"/>
      <protection locked="0"/>
    </xf>
    <xf numFmtId="0" fontId="0" fillId="15" borderId="66" xfId="0" applyFill="1" applyBorder="1" applyAlignment="1" applyProtection="1">
      <alignment horizontal="center" vertical="center"/>
      <protection locked="0"/>
    </xf>
    <xf numFmtId="3" fontId="0" fillId="15" borderId="24" xfId="0" applyNumberFormat="1" applyFill="1" applyBorder="1" applyAlignment="1" applyProtection="1">
      <alignment horizontal="center" vertical="center"/>
      <protection locked="0"/>
    </xf>
    <xf numFmtId="0" fontId="0" fillId="15" borderId="24" xfId="0" applyFill="1" applyBorder="1" applyAlignment="1" applyProtection="1">
      <alignment horizontal="center" vertical="center"/>
      <protection locked="0"/>
    </xf>
    <xf numFmtId="0" fontId="0" fillId="15" borderId="67" xfId="0" applyFill="1" applyBorder="1" applyAlignment="1" applyProtection="1">
      <alignment horizontal="center" vertical="center"/>
      <protection locked="0"/>
    </xf>
    <xf numFmtId="0" fontId="1" fillId="4" borderId="62" xfId="0" applyFont="1" applyFill="1" applyBorder="1" applyAlignment="1" applyProtection="1">
      <alignment horizontal="center" vertical="center"/>
      <protection hidden="1"/>
    </xf>
    <xf numFmtId="164" fontId="1" fillId="4" borderId="1" xfId="0" applyNumberFormat="1" applyFont="1" applyFill="1" applyBorder="1" applyAlignment="1" applyProtection="1">
      <alignment horizontal="center" vertical="center"/>
      <protection hidden="1"/>
    </xf>
    <xf numFmtId="0" fontId="1" fillId="4" borderId="2" xfId="0" applyFont="1" applyFill="1" applyBorder="1" applyAlignment="1" applyProtection="1">
      <alignment horizontal="center" vertical="center"/>
      <protection hidden="1"/>
    </xf>
    <xf numFmtId="0" fontId="1" fillId="4" borderId="5" xfId="0" applyFont="1" applyFill="1" applyBorder="1" applyAlignment="1" applyProtection="1">
      <alignment horizontal="center" vertical="center"/>
      <protection hidden="1"/>
    </xf>
    <xf numFmtId="0" fontId="1" fillId="4" borderId="1" xfId="0" applyFont="1" applyFill="1" applyBorder="1" applyAlignment="1" applyProtection="1">
      <alignment horizontal="center" vertical="center"/>
      <protection hidden="1"/>
    </xf>
    <xf numFmtId="0" fontId="1" fillId="4" borderId="6" xfId="0" applyFont="1" applyFill="1" applyBorder="1" applyAlignment="1" applyProtection="1">
      <alignment horizontal="center" vertical="center"/>
      <protection hidden="1"/>
    </xf>
    <xf numFmtId="164" fontId="1" fillId="4" borderId="7" xfId="0" applyNumberFormat="1" applyFont="1" applyFill="1" applyBorder="1" applyAlignment="1" applyProtection="1">
      <alignment horizontal="center" vertical="center"/>
      <protection hidden="1"/>
    </xf>
    <xf numFmtId="0" fontId="1" fillId="4" borderId="7" xfId="0" applyFont="1" applyFill="1" applyBorder="1" applyAlignment="1" applyProtection="1">
      <alignment horizontal="center" vertical="center"/>
      <protection hidden="1"/>
    </xf>
    <xf numFmtId="0" fontId="27" fillId="8" borderId="14" xfId="0" applyFont="1" applyFill="1" applyBorder="1" applyAlignment="1" applyProtection="1">
      <alignment horizontal="center" vertical="center" wrapText="1"/>
      <protection hidden="1"/>
    </xf>
    <xf numFmtId="0" fontId="11" fillId="4" borderId="68" xfId="0" applyFont="1" applyFill="1" applyBorder="1" applyAlignment="1" applyProtection="1">
      <alignment horizontal="center" vertical="center"/>
      <protection hidden="1"/>
    </xf>
    <xf numFmtId="0" fontId="11" fillId="4" borderId="69" xfId="0" applyFont="1" applyFill="1" applyBorder="1" applyAlignment="1" applyProtection="1">
      <alignment horizontal="center" vertical="center"/>
      <protection hidden="1"/>
    </xf>
    <xf numFmtId="0" fontId="11" fillId="4" borderId="70" xfId="0" applyFont="1" applyFill="1" applyBorder="1" applyAlignment="1" applyProtection="1">
      <alignment horizontal="center" vertical="center"/>
      <protection hidden="1"/>
    </xf>
    <xf numFmtId="0" fontId="26" fillId="8" borderId="55" xfId="0" applyFont="1" applyFill="1" applyBorder="1" applyAlignment="1">
      <alignment horizontal="right" vertical="center"/>
    </xf>
    <xf numFmtId="0" fontId="0" fillId="4" borderId="24" xfId="0" applyFill="1" applyBorder="1" applyAlignment="1" applyProtection="1">
      <alignment horizontal="center" vertical="center"/>
      <protection hidden="1"/>
    </xf>
    <xf numFmtId="0" fontId="0" fillId="4" borderId="52" xfId="0" applyFill="1" applyBorder="1" applyAlignment="1" applyProtection="1">
      <alignment horizontal="center" vertical="center"/>
      <protection hidden="1"/>
    </xf>
    <xf numFmtId="9" fontId="28" fillId="13" borderId="55" xfId="0" applyNumberFormat="1" applyFont="1" applyFill="1" applyBorder="1" applyAlignment="1" applyProtection="1">
      <alignment vertical="center"/>
      <protection hidden="1"/>
    </xf>
    <xf numFmtId="9" fontId="28" fillId="13" borderId="78" xfId="0" applyNumberFormat="1" applyFont="1" applyFill="1" applyBorder="1" applyAlignment="1" applyProtection="1">
      <alignment vertical="center"/>
      <protection hidden="1"/>
    </xf>
    <xf numFmtId="0" fontId="28" fillId="13" borderId="15" xfId="0" applyFont="1" applyFill="1" applyBorder="1" applyAlignment="1" applyProtection="1">
      <alignment horizontal="left" vertical="center" indent="1"/>
      <protection hidden="1"/>
    </xf>
    <xf numFmtId="0" fontId="28" fillId="13" borderId="15" xfId="0" applyFont="1" applyFill="1" applyBorder="1" applyAlignment="1" applyProtection="1">
      <alignment horizontal="left" vertical="center" indent="3"/>
      <protection hidden="1"/>
    </xf>
    <xf numFmtId="0" fontId="28" fillId="13" borderId="16" xfId="0" applyFont="1" applyFill="1" applyBorder="1" applyAlignment="1" applyProtection="1">
      <alignment horizontal="left" vertical="center" indent="3"/>
      <protection hidden="1"/>
    </xf>
    <xf numFmtId="0" fontId="1" fillId="6" borderId="80" xfId="0" applyFont="1" applyFill="1" applyBorder="1" applyAlignment="1" applyProtection="1">
      <alignment vertical="center"/>
      <protection hidden="1"/>
    </xf>
    <xf numFmtId="0" fontId="9" fillId="9" borderId="81" xfId="0" applyFont="1" applyFill="1" applyBorder="1" applyAlignment="1" applyProtection="1">
      <alignment vertical="center"/>
      <protection hidden="1"/>
    </xf>
    <xf numFmtId="0" fontId="24" fillId="9" borderId="77" xfId="0" applyFont="1" applyFill="1" applyBorder="1" applyAlignment="1" applyProtection="1">
      <alignment vertical="center"/>
      <protection hidden="1"/>
    </xf>
    <xf numFmtId="0" fontId="25" fillId="13" borderId="80" xfId="0" applyFont="1" applyFill="1" applyBorder="1" applyAlignment="1" applyProtection="1">
      <alignment vertical="center"/>
      <protection hidden="1"/>
    </xf>
    <xf numFmtId="0" fontId="34" fillId="13" borderId="75" xfId="0" applyFont="1" applyFill="1" applyBorder="1" applyAlignment="1" applyProtection="1">
      <alignment horizontal="center" vertical="center"/>
      <protection hidden="1"/>
    </xf>
    <xf numFmtId="0" fontId="29" fillId="13" borderId="75" xfId="0" applyFont="1" applyFill="1" applyBorder="1" applyAlignment="1" applyProtection="1">
      <alignment horizontal="left" vertical="center" indent="1"/>
      <protection hidden="1"/>
    </xf>
    <xf numFmtId="0" fontId="29" fillId="13" borderId="75" xfId="0" applyFont="1" applyFill="1" applyBorder="1" applyAlignment="1" applyProtection="1">
      <alignment vertical="center"/>
      <protection hidden="1"/>
    </xf>
    <xf numFmtId="0" fontId="29" fillId="13" borderId="76" xfId="0" applyFont="1" applyFill="1" applyBorder="1" applyAlignment="1" applyProtection="1">
      <alignment vertical="center"/>
      <protection hidden="1"/>
    </xf>
    <xf numFmtId="0" fontId="0" fillId="4" borderId="47" xfId="0" applyFill="1" applyBorder="1" applyAlignment="1" applyProtection="1">
      <alignment horizontal="center" vertical="center"/>
      <protection hidden="1"/>
    </xf>
    <xf numFmtId="0" fontId="0" fillId="8" borderId="73" xfId="0" applyFill="1" applyBorder="1" applyAlignment="1" applyProtection="1">
      <alignment horizontal="right" vertical="center"/>
      <protection hidden="1"/>
    </xf>
    <xf numFmtId="9" fontId="28" fillId="13" borderId="12" xfId="0" applyNumberFormat="1" applyFont="1" applyFill="1" applyBorder="1" applyAlignment="1" applyProtection="1">
      <alignment horizontal="left" vertical="center" indent="1"/>
      <protection hidden="1"/>
    </xf>
    <xf numFmtId="9" fontId="28" fillId="13" borderId="12" xfId="0" applyNumberFormat="1" applyFont="1" applyFill="1" applyBorder="1" applyAlignment="1" applyProtection="1">
      <alignment vertical="center"/>
      <protection hidden="1"/>
    </xf>
    <xf numFmtId="9" fontId="28" fillId="13" borderId="13" xfId="0" applyNumberFormat="1" applyFont="1" applyFill="1" applyBorder="1" applyAlignment="1" applyProtection="1">
      <alignment vertical="center"/>
      <protection hidden="1"/>
    </xf>
    <xf numFmtId="0" fontId="26" fillId="8" borderId="71" xfId="0" applyFont="1" applyFill="1" applyBorder="1" applyAlignment="1">
      <alignment vertical="center"/>
    </xf>
    <xf numFmtId="0" fontId="0" fillId="4" borderId="65" xfId="0" applyFill="1" applyBorder="1" applyAlignment="1">
      <alignment horizontal="center" vertical="center"/>
    </xf>
    <xf numFmtId="0" fontId="0" fillId="4" borderId="20" xfId="0" applyFill="1" applyBorder="1" applyAlignment="1">
      <alignment horizontal="center" vertical="center"/>
    </xf>
    <xf numFmtId="0" fontId="27" fillId="8" borderId="3" xfId="0" applyFont="1" applyFill="1" applyBorder="1" applyAlignment="1" applyProtection="1">
      <alignment horizontal="center" vertical="center" wrapText="1"/>
      <protection hidden="1"/>
    </xf>
    <xf numFmtId="0" fontId="27" fillId="8" borderId="9" xfId="0" applyFont="1" applyFill="1" applyBorder="1" applyAlignment="1">
      <alignment horizontal="right" vertical="center"/>
    </xf>
    <xf numFmtId="0" fontId="26" fillId="8" borderId="10" xfId="0" applyFont="1" applyFill="1" applyBorder="1" applyAlignment="1" applyProtection="1">
      <alignment horizontal="center" vertical="center"/>
      <protection locked="0"/>
    </xf>
    <xf numFmtId="0" fontId="1" fillId="6" borderId="3" xfId="0" applyFont="1" applyFill="1" applyBorder="1" applyAlignment="1" applyProtection="1">
      <alignment vertical="center"/>
      <protection hidden="1"/>
    </xf>
    <xf numFmtId="0" fontId="1" fillId="6" borderId="14" xfId="0" applyFont="1" applyFill="1" applyBorder="1" applyAlignment="1" applyProtection="1">
      <alignment vertical="center"/>
      <protection hidden="1"/>
    </xf>
    <xf numFmtId="0" fontId="0" fillId="15" borderId="14" xfId="0" applyFill="1" applyBorder="1" applyAlignment="1" applyProtection="1">
      <alignment vertical="center"/>
      <protection locked="0"/>
    </xf>
    <xf numFmtId="0" fontId="0" fillId="15" borderId="50" xfId="0" applyFill="1" applyBorder="1" applyAlignment="1" applyProtection="1">
      <alignment vertical="center"/>
      <protection locked="0"/>
    </xf>
    <xf numFmtId="0" fontId="0" fillId="5" borderId="10" xfId="0" applyFill="1" applyBorder="1" applyAlignment="1" applyProtection="1">
      <alignment horizontal="center" vertical="center"/>
      <protection locked="0"/>
    </xf>
    <xf numFmtId="0" fontId="1" fillId="6" borderId="54" xfId="0" applyFont="1" applyFill="1" applyBorder="1" applyAlignment="1" applyProtection="1">
      <alignment horizontal="right" vertical="center"/>
      <protection hidden="1"/>
    </xf>
    <xf numFmtId="0" fontId="1" fillId="6" borderId="52" xfId="0" applyFont="1" applyFill="1" applyBorder="1" applyAlignment="1" applyProtection="1">
      <alignment horizontal="right" vertical="center"/>
      <protection hidden="1"/>
    </xf>
    <xf numFmtId="0" fontId="1" fillId="6" borderId="75" xfId="0" applyFont="1" applyFill="1" applyBorder="1" applyAlignment="1" applyProtection="1">
      <alignment horizontal="right" vertical="center"/>
      <protection hidden="1"/>
    </xf>
    <xf numFmtId="0" fontId="0" fillId="5" borderId="69" xfId="0" applyFill="1" applyBorder="1" applyAlignment="1" applyProtection="1">
      <alignment horizontal="center" vertical="center"/>
      <protection locked="0"/>
    </xf>
    <xf numFmtId="0" fontId="0" fillId="4" borderId="69" xfId="0" applyFill="1" applyBorder="1" applyAlignment="1" applyProtection="1">
      <alignment horizontal="center" vertical="center"/>
      <protection hidden="1"/>
    </xf>
    <xf numFmtId="3" fontId="0" fillId="15" borderId="70" xfId="0" applyNumberFormat="1" applyFill="1" applyBorder="1" applyAlignment="1" applyProtection="1">
      <alignment horizontal="center" vertical="center"/>
      <protection locked="0"/>
    </xf>
    <xf numFmtId="9" fontId="28" fillId="13" borderId="55" xfId="0" applyNumberFormat="1" applyFont="1" applyFill="1" applyBorder="1" applyAlignment="1" applyProtection="1">
      <alignment horizontal="left" vertical="center" indent="1"/>
      <protection hidden="1"/>
    </xf>
    <xf numFmtId="0" fontId="28" fillId="13" borderId="52" xfId="0" applyFont="1" applyFill="1" applyBorder="1" applyAlignment="1" applyProtection="1">
      <alignment horizontal="left" vertical="center" indent="1"/>
      <protection hidden="1"/>
    </xf>
    <xf numFmtId="0" fontId="19" fillId="5" borderId="49" xfId="0" applyFont="1" applyFill="1" applyBorder="1" applyAlignment="1" applyProtection="1">
      <alignment horizontal="center" vertical="center"/>
      <protection locked="0" hidden="1"/>
    </xf>
    <xf numFmtId="1" fontId="26" fillId="8" borderId="83" xfId="1" applyNumberFormat="1" applyFont="1" applyFill="1" applyBorder="1" applyAlignment="1" applyProtection="1">
      <alignment horizontal="center" vertical="center"/>
      <protection locked="0"/>
    </xf>
    <xf numFmtId="0" fontId="0" fillId="4" borderId="53" xfId="0" applyFill="1" applyBorder="1" applyAlignment="1" applyProtection="1">
      <alignment vertical="center"/>
      <protection hidden="1"/>
    </xf>
    <xf numFmtId="0" fontId="0" fillId="4" borderId="67" xfId="0" applyFill="1" applyBorder="1" applyAlignment="1" applyProtection="1">
      <alignment vertical="center"/>
      <protection hidden="1"/>
    </xf>
    <xf numFmtId="0" fontId="26" fillId="8" borderId="50" xfId="0" applyFont="1" applyFill="1" applyBorder="1" applyAlignment="1" applyProtection="1">
      <alignment horizontal="center" vertical="center"/>
      <protection locked="0"/>
    </xf>
    <xf numFmtId="0" fontId="9" fillId="9" borderId="61" xfId="0" applyFont="1" applyFill="1" applyBorder="1" applyAlignment="1" applyProtection="1">
      <alignment horizontal="left" vertical="center" indent="1"/>
      <protection hidden="1"/>
    </xf>
    <xf numFmtId="0" fontId="1" fillId="6" borderId="4" xfId="0" applyFont="1" applyFill="1" applyBorder="1" applyAlignment="1" applyProtection="1">
      <alignment horizontal="right" vertical="center"/>
      <protection hidden="1"/>
    </xf>
    <xf numFmtId="0" fontId="27" fillId="8" borderId="10" xfId="0" applyFont="1" applyFill="1" applyBorder="1" applyAlignment="1" applyProtection="1">
      <alignment horizontal="right" vertical="center"/>
      <protection hidden="1"/>
    </xf>
    <xf numFmtId="0" fontId="9" fillId="9" borderId="74" xfId="0" applyFont="1" applyFill="1" applyBorder="1" applyAlignment="1" applyProtection="1">
      <alignment vertical="center"/>
      <protection hidden="1"/>
    </xf>
    <xf numFmtId="0" fontId="25" fillId="13" borderId="76" xfId="0" applyFont="1" applyFill="1" applyBorder="1" applyAlignment="1" applyProtection="1">
      <alignment vertical="center" wrapText="1"/>
      <protection hidden="1"/>
    </xf>
    <xf numFmtId="0" fontId="1" fillId="6" borderId="14" xfId="0" applyFont="1" applyFill="1" applyBorder="1" applyAlignment="1" applyProtection="1">
      <alignment horizontal="right" vertical="center"/>
      <protection hidden="1"/>
    </xf>
    <xf numFmtId="0" fontId="0" fillId="5" borderId="79" xfId="0" applyFill="1" applyBorder="1" applyAlignment="1" applyProtection="1">
      <alignment horizontal="center" vertical="center"/>
      <protection locked="0"/>
    </xf>
    <xf numFmtId="0" fontId="0" fillId="15" borderId="84" xfId="0" applyFill="1" applyBorder="1" applyAlignment="1" applyProtection="1">
      <alignment horizontal="center" vertical="center"/>
      <protection locked="0"/>
    </xf>
    <xf numFmtId="0" fontId="0" fillId="8" borderId="11" xfId="0" applyFill="1" applyBorder="1"/>
    <xf numFmtId="0" fontId="1" fillId="8" borderId="12" xfId="0" applyFont="1" applyFill="1" applyBorder="1" applyAlignment="1" applyProtection="1">
      <alignment horizontal="right" vertical="center"/>
      <protection hidden="1"/>
    </xf>
    <xf numFmtId="0" fontId="0" fillId="15" borderId="82" xfId="0" applyFill="1" applyBorder="1" applyAlignment="1" applyProtection="1">
      <alignment vertical="center"/>
      <protection locked="0"/>
    </xf>
    <xf numFmtId="0" fontId="1" fillId="8" borderId="20" xfId="0" applyFont="1" applyFill="1" applyBorder="1" applyAlignment="1" applyProtection="1">
      <alignment vertical="center"/>
      <protection hidden="1"/>
    </xf>
    <xf numFmtId="0" fontId="1" fillId="8" borderId="15" xfId="0" applyFont="1" applyFill="1" applyBorder="1" applyAlignment="1" applyProtection="1">
      <alignment vertical="center"/>
      <protection hidden="1"/>
    </xf>
    <xf numFmtId="0" fontId="0" fillId="15" borderId="85" xfId="0" applyFill="1" applyBorder="1" applyAlignment="1" applyProtection="1">
      <alignment vertical="center"/>
      <protection locked="0"/>
    </xf>
    <xf numFmtId="0" fontId="3" fillId="3" borderId="0" xfId="0" applyFont="1" applyFill="1" applyAlignment="1">
      <alignment horizontal="left" wrapText="1"/>
    </xf>
    <xf numFmtId="0" fontId="1" fillId="4" borderId="27" xfId="0" applyFont="1" applyFill="1" applyBorder="1" applyAlignment="1" applyProtection="1">
      <alignment horizontal="left" vertical="top"/>
      <protection hidden="1"/>
    </xf>
    <xf numFmtId="0" fontId="1" fillId="4" borderId="28" xfId="0" applyFont="1" applyFill="1" applyBorder="1" applyAlignment="1" applyProtection="1">
      <alignment horizontal="left" vertical="top"/>
      <protection hidden="1"/>
    </xf>
    <xf numFmtId="0" fontId="1" fillId="15" borderId="56" xfId="0" applyFont="1" applyFill="1" applyBorder="1" applyAlignment="1" applyProtection="1">
      <alignment horizontal="left" vertical="top" wrapText="1"/>
      <protection hidden="1"/>
    </xf>
    <xf numFmtId="0" fontId="1" fillId="15" borderId="57" xfId="0" applyFont="1" applyFill="1" applyBorder="1" applyAlignment="1" applyProtection="1">
      <alignment horizontal="left" vertical="top" wrapText="1"/>
      <protection hidden="1"/>
    </xf>
    <xf numFmtId="0" fontId="1" fillId="15" borderId="31" xfId="0" applyFont="1" applyFill="1" applyBorder="1" applyAlignment="1" applyProtection="1">
      <alignment horizontal="left" vertical="top" wrapText="1"/>
      <protection hidden="1"/>
    </xf>
    <xf numFmtId="0" fontId="7" fillId="0" borderId="0" xfId="0" applyFont="1" applyAlignment="1" applyProtection="1">
      <alignment horizontal="center"/>
      <protection hidden="1"/>
    </xf>
    <xf numFmtId="0" fontId="8" fillId="0" borderId="0" xfId="0" applyFont="1" applyAlignment="1" applyProtection="1">
      <alignment horizontal="center" vertical="center" wrapText="1"/>
      <protection hidden="1"/>
    </xf>
    <xf numFmtId="0" fontId="5" fillId="16" borderId="22" xfId="0" applyFont="1" applyFill="1" applyBorder="1" applyAlignment="1" applyProtection="1">
      <alignment vertical="center"/>
      <protection hidden="1"/>
    </xf>
    <xf numFmtId="0" fontId="5" fillId="16" borderId="0" xfId="0" applyFont="1" applyFill="1" applyAlignment="1" applyProtection="1">
      <alignment vertical="center"/>
      <protection hidden="1"/>
    </xf>
    <xf numFmtId="0" fontId="5" fillId="16" borderId="82" xfId="0" applyFont="1" applyFill="1" applyBorder="1" applyAlignment="1" applyProtection="1">
      <alignment vertical="center"/>
      <protection hidden="1"/>
    </xf>
  </cellXfs>
  <cellStyles count="4">
    <cellStyle name="Comma" xfId="1" builtinId="3"/>
    <cellStyle name="Hyperlink" xfId="3" builtinId="8"/>
    <cellStyle name="Normal" xfId="0" builtinId="0"/>
    <cellStyle name="Percent" xfId="2" builtinId="5"/>
  </cellStyles>
  <dxfs count="19">
    <dxf>
      <font>
        <b/>
        <i val="0"/>
        <strike val="0"/>
        <color theme="0"/>
      </font>
    </dxf>
    <dxf>
      <font>
        <b/>
        <i val="0"/>
        <strike val="0"/>
        <color rgb="FFC00000"/>
      </font>
    </dxf>
    <dxf>
      <font>
        <b/>
        <i val="0"/>
        <strike val="0"/>
        <color theme="0"/>
      </font>
    </dxf>
    <dxf>
      <font>
        <b/>
        <i val="0"/>
        <color theme="5"/>
      </font>
    </dxf>
    <dxf>
      <font>
        <b/>
        <i val="0"/>
        <color theme="5"/>
      </font>
    </dxf>
    <dxf>
      <font>
        <b/>
        <i val="0"/>
        <strike val="0"/>
        <color theme="5"/>
      </font>
    </dxf>
    <dxf>
      <font>
        <b/>
        <i val="0"/>
        <strike val="0"/>
        <color theme="5"/>
      </font>
    </dxf>
    <dxf>
      <font>
        <color theme="1"/>
      </font>
      <fill>
        <patternFill>
          <bgColor rgb="FFFFFF99"/>
        </patternFill>
      </fill>
    </dxf>
    <dxf>
      <font>
        <b/>
        <i val="0"/>
        <color theme="5"/>
      </font>
    </dxf>
    <dxf>
      <font>
        <b val="0"/>
        <i val="0"/>
        <color auto="1"/>
      </font>
      <fill>
        <patternFill>
          <bgColor rgb="FFFFFF99"/>
        </patternFill>
      </fill>
    </dxf>
    <dxf>
      <font>
        <color theme="1"/>
      </font>
      <fill>
        <patternFill>
          <bgColor theme="2" tint="-9.9948118533890809E-2"/>
        </patternFill>
      </fill>
    </dxf>
    <dxf>
      <font>
        <color theme="2" tint="-9.9948118533890809E-2"/>
      </font>
      <fill>
        <patternFill>
          <bgColor theme="2" tint="-9.9948118533890809E-2"/>
        </patternFill>
      </fill>
    </dxf>
    <dxf>
      <font>
        <b/>
        <i val="0"/>
        <color theme="5"/>
      </font>
    </dxf>
    <dxf>
      <font>
        <b val="0"/>
        <i val="0"/>
        <color theme="2" tint="-9.9948118533890809E-2"/>
      </font>
      <fill>
        <patternFill>
          <bgColor theme="2" tint="-9.9948118533890809E-2"/>
        </patternFill>
      </fill>
    </dxf>
    <dxf>
      <font>
        <b/>
        <i val="0"/>
        <strike val="0"/>
        <color theme="5"/>
      </font>
    </dxf>
    <dxf>
      <font>
        <b/>
        <i val="0"/>
        <color theme="5"/>
      </font>
    </dxf>
    <dxf>
      <font>
        <color auto="1"/>
      </font>
      <fill>
        <patternFill>
          <bgColor theme="2" tint="-9.9948118533890809E-2"/>
        </patternFill>
      </fill>
    </dxf>
    <dxf>
      <font>
        <b/>
        <i val="0"/>
        <strike val="0"/>
        <color auto="1"/>
      </font>
    </dxf>
    <dxf>
      <font>
        <b/>
        <i val="0"/>
        <strike val="0"/>
        <color theme="5"/>
      </font>
    </dxf>
  </dxfs>
  <tableStyles count="0" defaultTableStyle="TableStyleMedium2" defaultPivotStyle="PivotStyleLight16"/>
  <colors>
    <mruColors>
      <color rgb="FFFFFF99"/>
      <color rgb="FF000099"/>
      <color rgb="FFFFFFCC"/>
      <color rgb="FFFFCC66"/>
      <color rgb="FFFF33CC"/>
      <color rgb="FF0000CC"/>
      <color rgb="FFFFFF66"/>
      <color rgb="FFB5E6A2"/>
      <color rgb="FFFFCC99"/>
      <color rgb="FFFFE0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2.xml"/><Relationship Id="rId5" Type="http://schemas.openxmlformats.org/officeDocument/2006/relationships/styles" Target="styles.xml"/><Relationship Id="rId10" Type="http://schemas.openxmlformats.org/officeDocument/2006/relationships/customXml" Target="../customXml/item1.xml"/><Relationship Id="rId4" Type="http://schemas.openxmlformats.org/officeDocument/2006/relationships/theme" Target="theme/theme1.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647816302511904"/>
          <c:y val="3.5026269702276708E-2"/>
          <c:w val="0.80136423847581906"/>
          <c:h val="0.85720396596660098"/>
        </c:manualLayout>
      </c:layout>
      <c:scatterChart>
        <c:scatterStyle val="lineMarker"/>
        <c:varyColors val="0"/>
        <c:ser>
          <c:idx val="0"/>
          <c:order val="0"/>
          <c:tx>
            <c:v>"Not Covered - Tier 2"</c:v>
          </c:tx>
          <c:spPr>
            <a:ln w="12700" cap="rnd">
              <a:solidFill>
                <a:schemeClr val="accent1"/>
              </a:solidFill>
              <a:round/>
            </a:ln>
            <a:effectLst/>
          </c:spPr>
          <c:marker>
            <c:symbol val="none"/>
          </c:marker>
          <c:xVal>
            <c:numRef>
              <c:f>Lookups!$AY$3:$AY$6</c:f>
              <c:numCache>
                <c:formatCode>General</c:formatCode>
                <c:ptCount val="4"/>
                <c:pt idx="0">
                  <c:v>0</c:v>
                </c:pt>
                <c:pt idx="1">
                  <c:v>20000</c:v>
                </c:pt>
              </c:numCache>
            </c:numRef>
          </c:xVal>
          <c:yVal>
            <c:numRef>
              <c:f>Lookups!$AX$3:$AX$6</c:f>
              <c:numCache>
                <c:formatCode>General</c:formatCode>
                <c:ptCount val="4"/>
                <c:pt idx="0">
                  <c:v>35000</c:v>
                </c:pt>
                <c:pt idx="1">
                  <c:v>15000</c:v>
                </c:pt>
              </c:numCache>
            </c:numRef>
          </c:yVal>
          <c:smooth val="0"/>
          <c:extLst>
            <c:ext xmlns:c16="http://schemas.microsoft.com/office/drawing/2014/chart" uri="{C3380CC4-5D6E-409C-BE32-E72D297353CC}">
              <c16:uniqueId val="{00000002-C177-40B8-A090-8A02080A67EA}"/>
            </c:ext>
          </c:extLst>
        </c:ser>
        <c:ser>
          <c:idx val="1"/>
          <c:order val="1"/>
          <c:tx>
            <c:v>"Tier 2 - Tier 1"</c:v>
          </c:tx>
          <c:spPr>
            <a:ln w="12700" cap="rnd">
              <a:solidFill>
                <a:schemeClr val="tx1"/>
              </a:solidFill>
              <a:round/>
            </a:ln>
            <a:effectLst/>
          </c:spPr>
          <c:marker>
            <c:symbol val="none"/>
          </c:marker>
          <c:xVal>
            <c:numRef>
              <c:f>Lookups!$AY$7:$AY$9</c:f>
              <c:numCache>
                <c:formatCode>General</c:formatCode>
                <c:ptCount val="3"/>
                <c:pt idx="0">
                  <c:v>35000</c:v>
                </c:pt>
                <c:pt idx="1">
                  <c:v>35000</c:v>
                </c:pt>
                <c:pt idx="2">
                  <c:v>250000</c:v>
                </c:pt>
              </c:numCache>
            </c:numRef>
          </c:xVal>
          <c:yVal>
            <c:numRef>
              <c:f>Lookups!$AX$7:$AX$9</c:f>
              <c:numCache>
                <c:formatCode>General</c:formatCode>
                <c:ptCount val="3"/>
                <c:pt idx="0">
                  <c:v>0</c:v>
                </c:pt>
                <c:pt idx="1">
                  <c:v>35000</c:v>
                </c:pt>
                <c:pt idx="2">
                  <c:v>250000</c:v>
                </c:pt>
              </c:numCache>
            </c:numRef>
          </c:yVal>
          <c:smooth val="0"/>
          <c:extLst>
            <c:ext xmlns:c16="http://schemas.microsoft.com/office/drawing/2014/chart" uri="{C3380CC4-5D6E-409C-BE32-E72D297353CC}">
              <c16:uniqueId val="{00000003-C177-40B8-A090-8A02080A67EA}"/>
            </c:ext>
          </c:extLst>
        </c:ser>
        <c:ser>
          <c:idx val="2"/>
          <c:order val="2"/>
          <c:tx>
            <c:v>Tier 2 pure</c:v>
          </c:tx>
          <c:spPr>
            <a:ln w="12700" cap="rnd">
              <a:solidFill>
                <a:schemeClr val="accent3"/>
              </a:solidFill>
              <a:round/>
            </a:ln>
            <a:effectLst/>
          </c:spPr>
          <c:marker>
            <c:symbol val="none"/>
          </c:marker>
          <c:xVal>
            <c:numRef>
              <c:f>Lookups!$AY$13:$AY$15</c:f>
              <c:numCache>
                <c:formatCode>General</c:formatCode>
                <c:ptCount val="3"/>
                <c:pt idx="0">
                  <c:v>20000</c:v>
                </c:pt>
                <c:pt idx="1">
                  <c:v>20000</c:v>
                </c:pt>
                <c:pt idx="2">
                  <c:v>35000</c:v>
                </c:pt>
              </c:numCache>
            </c:numRef>
          </c:xVal>
          <c:yVal>
            <c:numRef>
              <c:f>Lookups!$AX$13:$AX$15</c:f>
              <c:numCache>
                <c:formatCode>General</c:formatCode>
                <c:ptCount val="3"/>
                <c:pt idx="0">
                  <c:v>0</c:v>
                </c:pt>
                <c:pt idx="1">
                  <c:v>20000</c:v>
                </c:pt>
                <c:pt idx="2">
                  <c:v>35000</c:v>
                </c:pt>
              </c:numCache>
            </c:numRef>
          </c:yVal>
          <c:smooth val="0"/>
          <c:extLst>
            <c:ext xmlns:c16="http://schemas.microsoft.com/office/drawing/2014/chart" uri="{C3380CC4-5D6E-409C-BE32-E72D297353CC}">
              <c16:uniqueId val="{00000004-C177-40B8-A090-8A02080A67EA}"/>
            </c:ext>
          </c:extLst>
        </c:ser>
        <c:dLbls>
          <c:showLegendKey val="0"/>
          <c:showVal val="0"/>
          <c:showCatName val="0"/>
          <c:showSerName val="0"/>
          <c:showPercent val="0"/>
          <c:showBubbleSize val="0"/>
        </c:dLbls>
        <c:axId val="416140783"/>
        <c:axId val="416138863"/>
      </c:scatterChart>
      <c:valAx>
        <c:axId val="416140783"/>
        <c:scaling>
          <c:orientation val="minMax"/>
          <c:max val="250000"/>
        </c:scaling>
        <c:delete val="0"/>
        <c:axPos val="b"/>
        <c:majorGridlines>
          <c:spPr>
            <a:ln w="9525" cap="flat" cmpd="sng" algn="ctr">
              <a:noFill/>
              <a:round/>
            </a:ln>
            <a:effectLst/>
          </c:spPr>
        </c:majorGridlines>
        <c:minorGridlines>
          <c:spPr>
            <a:ln w="9525" cap="flat" cmpd="sng" algn="ctr">
              <a:noFill/>
              <a:round/>
            </a:ln>
            <a:effectLst/>
          </c:spPr>
        </c:minorGridlines>
        <c:title>
          <c:tx>
            <c:rich>
              <a:bodyPr rot="0" spcFirstLastPara="1" vertOverflow="ellipsis" vert="horz" wrap="square" anchor="ctr" anchorCtr="1"/>
              <a:lstStyle/>
              <a:p>
                <a:pPr>
                  <a:defRPr sz="1200" b="1" i="0" u="none" strike="noStrike" kern="1200" baseline="0">
                    <a:solidFill>
                      <a:schemeClr val="accent1"/>
                    </a:solidFill>
                    <a:latin typeface="+mn-lt"/>
                    <a:ea typeface="+mn-ea"/>
                    <a:cs typeface="+mn-cs"/>
                  </a:defRPr>
                </a:pPr>
                <a:r>
                  <a:rPr lang="en-US" sz="1200" b="1">
                    <a:solidFill>
                      <a:schemeClr val="accent1"/>
                    </a:solidFill>
                  </a:rPr>
                  <a:t>Regular GFA, SF</a:t>
                </a:r>
              </a:p>
            </c:rich>
          </c:tx>
          <c:layout>
            <c:manualLayout>
              <c:xMode val="edge"/>
              <c:yMode val="edge"/>
              <c:x val="0.45684101553152862"/>
              <c:y val="0.93672260749182101"/>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accent1"/>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bg1"/>
                </a:solidFill>
                <a:latin typeface="+mn-lt"/>
                <a:ea typeface="+mn-ea"/>
                <a:cs typeface="+mn-cs"/>
              </a:defRPr>
            </a:pPr>
            <a:endParaRPr lang="en-US"/>
          </a:p>
        </c:txPr>
        <c:crossAx val="416138863"/>
        <c:crosses val="autoZero"/>
        <c:crossBetween val="midCat"/>
      </c:valAx>
      <c:valAx>
        <c:axId val="416138863"/>
        <c:scaling>
          <c:orientation val="minMax"/>
          <c:max val="250000"/>
        </c:scaling>
        <c:delete val="0"/>
        <c:axPos val="l"/>
        <c:majorGridlines>
          <c:spPr>
            <a:ln w="9525" cap="flat" cmpd="sng" algn="ctr">
              <a:noFill/>
              <a:round/>
            </a:ln>
            <a:effectLst/>
          </c:spPr>
        </c:majorGridlines>
        <c:minorGridlines>
          <c:spPr>
            <a:ln w="9525" cap="flat" cmpd="sng" algn="ctr">
              <a:noFill/>
              <a:round/>
            </a:ln>
            <a:effectLst/>
          </c:spPr>
        </c:minorGridlines>
        <c:title>
          <c:tx>
            <c:rich>
              <a:bodyPr rot="-5400000" spcFirstLastPara="1" vertOverflow="ellipsis" vert="horz" wrap="square" anchor="ctr" anchorCtr="1"/>
              <a:lstStyle/>
              <a:p>
                <a:pPr>
                  <a:defRPr sz="1200" b="1" i="0" u="none" strike="noStrike" kern="1200" baseline="0">
                    <a:solidFill>
                      <a:schemeClr val="accent6">
                        <a:lumMod val="75000"/>
                      </a:schemeClr>
                    </a:solidFill>
                    <a:latin typeface="+mn-lt"/>
                    <a:ea typeface="+mn-ea"/>
                    <a:cs typeface="+mn-cs"/>
                  </a:defRPr>
                </a:pPr>
                <a:r>
                  <a:rPr lang="en-US" sz="1200" b="1">
                    <a:solidFill>
                      <a:schemeClr val="accent6">
                        <a:lumMod val="75000"/>
                      </a:schemeClr>
                    </a:solidFill>
                  </a:rPr>
                  <a:t>Special GFA, SF</a:t>
                </a:r>
              </a:p>
            </c:rich>
          </c:tx>
          <c:layout>
            <c:manualLayout>
              <c:xMode val="edge"/>
              <c:yMode val="edge"/>
              <c:x val="1.0158594352276423E-2"/>
              <c:y val="0.27572077019784297"/>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chemeClr val="accent6">
                      <a:lumMod val="7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accent6">
                    <a:lumMod val="75000"/>
                  </a:schemeClr>
                </a:solidFill>
                <a:latin typeface="+mn-lt"/>
                <a:ea typeface="+mn-ea"/>
                <a:cs typeface="+mn-cs"/>
              </a:defRPr>
            </a:pPr>
            <a:endParaRPr lang="en-US"/>
          </a:p>
        </c:txPr>
        <c:crossAx val="416140783"/>
        <c:crosses val="autoZero"/>
        <c:crossBetween val="midCat"/>
      </c:valAx>
      <c:spPr>
        <a:solidFill>
          <a:srgbClr val="B5E6A2"/>
        </a:soli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19050</xdr:colOff>
      <xdr:row>48</xdr:row>
      <xdr:rowOff>19050</xdr:rowOff>
    </xdr:from>
    <xdr:to>
      <xdr:col>2</xdr:col>
      <xdr:colOff>1047751</xdr:colOff>
      <xdr:row>68</xdr:row>
      <xdr:rowOff>165100</xdr:rowOff>
    </xdr:to>
    <xdr:grpSp>
      <xdr:nvGrpSpPr>
        <xdr:cNvPr id="15" name="Group 14" descr="Graph of Regular GFA versus Special GFA illustrating how building tiers are determined">
          <a:extLst>
            <a:ext uri="{FF2B5EF4-FFF2-40B4-BE49-F238E27FC236}">
              <a16:creationId xmlns:a16="http://schemas.microsoft.com/office/drawing/2014/main" id="{D8045317-B117-9D0F-A0C2-9B58DBF17CDA}"/>
            </a:ext>
          </a:extLst>
        </xdr:cNvPr>
        <xdr:cNvGrpSpPr/>
      </xdr:nvGrpSpPr>
      <xdr:grpSpPr>
        <a:xfrm>
          <a:off x="19050" y="23914100"/>
          <a:ext cx="5994401" cy="3981450"/>
          <a:chOff x="19050" y="19742150"/>
          <a:chExt cx="5867401" cy="3981450"/>
        </a:xfrm>
      </xdr:grpSpPr>
      <xdr:graphicFrame macro="">
        <xdr:nvGraphicFramePr>
          <xdr:cNvPr id="2" name="Chart 1">
            <a:extLst>
              <a:ext uri="{FF2B5EF4-FFF2-40B4-BE49-F238E27FC236}">
                <a16:creationId xmlns:a16="http://schemas.microsoft.com/office/drawing/2014/main" id="{51429488-EFB8-E3B8-1235-183B35131D57}"/>
              </a:ext>
            </a:extLst>
          </xdr:cNvPr>
          <xdr:cNvGraphicFramePr/>
        </xdr:nvGraphicFramePr>
        <xdr:xfrm>
          <a:off x="19050" y="19742150"/>
          <a:ext cx="5867401" cy="3981450"/>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TextBox 3">
            <a:extLst>
              <a:ext uri="{FF2B5EF4-FFF2-40B4-BE49-F238E27FC236}">
                <a16:creationId xmlns:a16="http://schemas.microsoft.com/office/drawing/2014/main" id="{B50BFBFF-42D5-BAFE-ED8D-763EAD853E89}"/>
              </a:ext>
            </a:extLst>
          </xdr:cNvPr>
          <xdr:cNvSpPr txBox="1"/>
        </xdr:nvSpPr>
        <xdr:spPr>
          <a:xfrm>
            <a:off x="1032349" y="23339146"/>
            <a:ext cx="467332" cy="2448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en-US" sz="900" b="1">
                <a:solidFill>
                  <a:schemeClr val="accent1"/>
                </a:solidFill>
              </a:rPr>
              <a:t>20,000</a:t>
            </a:r>
          </a:p>
        </xdr:txBody>
      </xdr:sp>
      <xdr:sp macro="" textlink="">
        <xdr:nvSpPr>
          <xdr:cNvPr id="5" name="TextBox 4">
            <a:extLst>
              <a:ext uri="{FF2B5EF4-FFF2-40B4-BE49-F238E27FC236}">
                <a16:creationId xmlns:a16="http://schemas.microsoft.com/office/drawing/2014/main" id="{949A44F4-2E62-431A-89C8-554EE6C4C4CE}"/>
              </a:ext>
            </a:extLst>
          </xdr:cNvPr>
          <xdr:cNvSpPr txBox="1"/>
        </xdr:nvSpPr>
        <xdr:spPr>
          <a:xfrm>
            <a:off x="1414430" y="23339146"/>
            <a:ext cx="467332" cy="2448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en-US" sz="900" b="1">
                <a:solidFill>
                  <a:schemeClr val="accent1"/>
                </a:solidFill>
              </a:rPr>
              <a:t>35,000</a:t>
            </a:r>
          </a:p>
        </xdr:txBody>
      </xdr:sp>
      <xdr:sp macro="" textlink="">
        <xdr:nvSpPr>
          <xdr:cNvPr id="6" name="TextBox 5">
            <a:extLst>
              <a:ext uri="{FF2B5EF4-FFF2-40B4-BE49-F238E27FC236}">
                <a16:creationId xmlns:a16="http://schemas.microsoft.com/office/drawing/2014/main" id="{D8910229-C030-458C-B33A-51099B58FDBB}"/>
              </a:ext>
            </a:extLst>
          </xdr:cNvPr>
          <xdr:cNvSpPr txBox="1"/>
        </xdr:nvSpPr>
        <xdr:spPr>
          <a:xfrm>
            <a:off x="2197915" y="23339146"/>
            <a:ext cx="467332" cy="2448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en-US" sz="900" b="1">
                <a:solidFill>
                  <a:schemeClr val="accent1"/>
                </a:solidFill>
              </a:rPr>
              <a:t>90,000</a:t>
            </a:r>
          </a:p>
        </xdr:txBody>
      </xdr:sp>
      <xdr:sp macro="" textlink="">
        <xdr:nvSpPr>
          <xdr:cNvPr id="7" name="TextBox 6">
            <a:extLst>
              <a:ext uri="{FF2B5EF4-FFF2-40B4-BE49-F238E27FC236}">
                <a16:creationId xmlns:a16="http://schemas.microsoft.com/office/drawing/2014/main" id="{A021D9B2-BDA4-4618-A9A1-8B019FE738B5}"/>
              </a:ext>
            </a:extLst>
          </xdr:cNvPr>
          <xdr:cNvSpPr txBox="1"/>
        </xdr:nvSpPr>
        <xdr:spPr>
          <a:xfrm>
            <a:off x="4262560" y="23339146"/>
            <a:ext cx="467332" cy="2448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en-US" sz="900" b="1">
                <a:solidFill>
                  <a:schemeClr val="accent1"/>
                </a:solidFill>
              </a:rPr>
              <a:t>200,000</a:t>
            </a:r>
          </a:p>
        </xdr:txBody>
      </xdr:sp>
      <xdr:sp macro="" textlink="">
        <xdr:nvSpPr>
          <xdr:cNvPr id="8" name="TextBox 7">
            <a:extLst>
              <a:ext uri="{FF2B5EF4-FFF2-40B4-BE49-F238E27FC236}">
                <a16:creationId xmlns:a16="http://schemas.microsoft.com/office/drawing/2014/main" id="{F3346805-BA81-4674-AC9D-8446F4B1969A}"/>
              </a:ext>
            </a:extLst>
          </xdr:cNvPr>
          <xdr:cNvSpPr txBox="1"/>
        </xdr:nvSpPr>
        <xdr:spPr>
          <a:xfrm>
            <a:off x="441665" y="22984592"/>
            <a:ext cx="467332" cy="241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en-US" sz="900" b="1">
                <a:solidFill>
                  <a:schemeClr val="accent6">
                    <a:lumMod val="75000"/>
                  </a:schemeClr>
                </a:solidFill>
              </a:rPr>
              <a:t>15,000</a:t>
            </a:r>
          </a:p>
        </xdr:txBody>
      </xdr:sp>
      <xdr:sp macro="" textlink="">
        <xdr:nvSpPr>
          <xdr:cNvPr id="9" name="TextBox 8">
            <a:extLst>
              <a:ext uri="{FF2B5EF4-FFF2-40B4-BE49-F238E27FC236}">
                <a16:creationId xmlns:a16="http://schemas.microsoft.com/office/drawing/2014/main" id="{B9F069AC-C7D9-4F1A-8F20-0F76443627F0}"/>
              </a:ext>
            </a:extLst>
          </xdr:cNvPr>
          <xdr:cNvSpPr txBox="1"/>
        </xdr:nvSpPr>
        <xdr:spPr>
          <a:xfrm>
            <a:off x="441665" y="22736212"/>
            <a:ext cx="467332" cy="2417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en-US" sz="900" b="1">
                <a:solidFill>
                  <a:schemeClr val="accent6">
                    <a:lumMod val="75000"/>
                  </a:schemeClr>
                </a:solidFill>
              </a:rPr>
              <a:t>35,000</a:t>
            </a:r>
          </a:p>
        </xdr:txBody>
      </xdr:sp>
      <xdr:sp macro="" textlink="">
        <xdr:nvSpPr>
          <xdr:cNvPr id="11" name="Freeform: Shape 10">
            <a:extLst>
              <a:ext uri="{FF2B5EF4-FFF2-40B4-BE49-F238E27FC236}">
                <a16:creationId xmlns:a16="http://schemas.microsoft.com/office/drawing/2014/main" id="{7076056E-F5EC-C784-C06E-AF9D858E1C3F}"/>
              </a:ext>
            </a:extLst>
          </xdr:cNvPr>
          <xdr:cNvSpPr/>
        </xdr:nvSpPr>
        <xdr:spPr>
          <a:xfrm>
            <a:off x="892175" y="22809769"/>
            <a:ext cx="346075" cy="485791"/>
          </a:xfrm>
          <a:custGeom>
            <a:avLst/>
            <a:gdLst>
              <a:gd name="connsiteX0" fmla="*/ 0 w 355600"/>
              <a:gd name="connsiteY0" fmla="*/ 0 h 454025"/>
              <a:gd name="connsiteX1" fmla="*/ 352425 w 355600"/>
              <a:gd name="connsiteY1" fmla="*/ 254000 h 454025"/>
              <a:gd name="connsiteX2" fmla="*/ 355600 w 355600"/>
              <a:gd name="connsiteY2" fmla="*/ 454025 h 454025"/>
              <a:gd name="connsiteX3" fmla="*/ 3175 w 355600"/>
              <a:gd name="connsiteY3" fmla="*/ 454025 h 454025"/>
              <a:gd name="connsiteX4" fmla="*/ 0 w 355600"/>
              <a:gd name="connsiteY4" fmla="*/ 0 h 4540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55600" h="454025">
                <a:moveTo>
                  <a:pt x="0" y="0"/>
                </a:moveTo>
                <a:lnTo>
                  <a:pt x="352425" y="254000"/>
                </a:lnTo>
                <a:cubicBezTo>
                  <a:pt x="353483" y="320675"/>
                  <a:pt x="354542" y="387350"/>
                  <a:pt x="355600" y="454025"/>
                </a:cubicBezTo>
                <a:lnTo>
                  <a:pt x="3175" y="454025"/>
                </a:lnTo>
                <a:cubicBezTo>
                  <a:pt x="2117" y="302683"/>
                  <a:pt x="1058" y="151342"/>
                  <a:pt x="0" y="0"/>
                </a:cubicBezTo>
                <a:close/>
              </a:path>
            </a:pathLst>
          </a:custGeom>
          <a:solidFill>
            <a:schemeClr val="accent2">
              <a:lumMod val="40000"/>
              <a:lumOff val="60000"/>
            </a:schemeClr>
          </a:solid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lang="en-US" sz="700" b="1">
              <a:solidFill>
                <a:sysClr val="windowText" lastClr="000000"/>
              </a:solidFill>
            </a:endParaRPr>
          </a:p>
          <a:p>
            <a:pPr algn="l"/>
            <a:endParaRPr lang="en-US" sz="700" b="1">
              <a:solidFill>
                <a:sysClr val="windowText" lastClr="000000"/>
              </a:solidFill>
            </a:endParaRPr>
          </a:p>
          <a:p>
            <a:pPr algn="l"/>
            <a:r>
              <a:rPr lang="en-US" sz="700" b="1">
                <a:solidFill>
                  <a:sysClr val="windowText" lastClr="000000"/>
                </a:solidFill>
              </a:rPr>
              <a:t>     Not      Covered</a:t>
            </a:r>
          </a:p>
        </xdr:txBody>
      </xdr:sp>
    </xdr:grpSp>
    <xdr:clientData/>
  </xdr:twoCellAnchor>
</xdr:wsDr>
</file>

<file path=xl/drawings/drawing2.xml><?xml version="1.0" encoding="utf-8"?>
<c:userShapes xmlns:c="http://schemas.openxmlformats.org/drawingml/2006/chart">
  <cdr:relSizeAnchor xmlns:cdr="http://schemas.openxmlformats.org/drawingml/2006/chartDrawing">
    <cdr:from>
      <cdr:x>0.7561</cdr:x>
      <cdr:y>0.03361</cdr:y>
    </cdr:from>
    <cdr:to>
      <cdr:x>0.94872</cdr:x>
      <cdr:y>0.89076</cdr:y>
    </cdr:to>
    <cdr:sp macro="" textlink="">
      <cdr:nvSpPr>
        <cdr:cNvPr id="5" name="Freeform: Shape 4">
          <a:extLst xmlns:a="http://schemas.openxmlformats.org/drawingml/2006/main">
            <a:ext uri="{FF2B5EF4-FFF2-40B4-BE49-F238E27FC236}">
              <a16:creationId xmlns:a16="http://schemas.microsoft.com/office/drawing/2014/main" id="{343E07DC-A90D-AA5D-EC7C-CCA719E35BA5}"/>
            </a:ext>
          </a:extLst>
        </cdr:cNvPr>
        <cdr:cNvSpPr/>
      </cdr:nvSpPr>
      <cdr:spPr>
        <a:xfrm xmlns:a="http://schemas.openxmlformats.org/drawingml/2006/main">
          <a:off x="3838575" y="127000"/>
          <a:ext cx="977900" cy="3238500"/>
        </a:xfrm>
        <a:custGeom xmlns:a="http://schemas.openxmlformats.org/drawingml/2006/main">
          <a:avLst/>
          <a:gdLst>
            <a:gd name="connsiteX0" fmla="*/ 0 w 977900"/>
            <a:gd name="connsiteY0" fmla="*/ 3225800 h 3238500"/>
            <a:gd name="connsiteX1" fmla="*/ 0 w 977900"/>
            <a:gd name="connsiteY1" fmla="*/ 781050 h 3238500"/>
            <a:gd name="connsiteX2" fmla="*/ 971550 w 977900"/>
            <a:gd name="connsiteY2" fmla="*/ 0 h 3238500"/>
            <a:gd name="connsiteX3" fmla="*/ 977900 w 977900"/>
            <a:gd name="connsiteY3" fmla="*/ 3238500 h 3238500"/>
            <a:gd name="connsiteX4" fmla="*/ 0 w 977900"/>
            <a:gd name="connsiteY4" fmla="*/ 3225800 h 32385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77900" h="3238500">
              <a:moveTo>
                <a:pt x="0" y="3225800"/>
              </a:moveTo>
              <a:lnTo>
                <a:pt x="0" y="781050"/>
              </a:lnTo>
              <a:lnTo>
                <a:pt x="971550" y="0"/>
              </a:lnTo>
              <a:cubicBezTo>
                <a:pt x="973667" y="1079500"/>
                <a:pt x="975783" y="2159000"/>
                <a:pt x="977900" y="3238500"/>
              </a:cubicBezTo>
              <a:lnTo>
                <a:pt x="0" y="3225800"/>
              </a:lnTo>
              <a:close/>
            </a:path>
          </a:pathLst>
        </a:custGeom>
        <a:solidFill xmlns:a="http://schemas.openxmlformats.org/drawingml/2006/main">
          <a:schemeClr val="accent4">
            <a:lumMod val="60000"/>
            <a:lumOff val="40000"/>
          </a:schemeClr>
        </a:solidFill>
        <a:ln xmlns:a="http://schemas.openxmlformats.org/drawingml/2006/main" w="12700"/>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kern="1200"/>
        </a:p>
        <a:p xmlns:a="http://schemas.openxmlformats.org/drawingml/2006/main">
          <a:endParaRPr lang="en-US" kern="1200"/>
        </a:p>
        <a:p xmlns:a="http://schemas.openxmlformats.org/drawingml/2006/main">
          <a:endParaRPr lang="en-US" kern="1200"/>
        </a:p>
        <a:p xmlns:a="http://schemas.openxmlformats.org/drawingml/2006/main">
          <a:endParaRPr lang="en-US" kern="1200"/>
        </a:p>
        <a:p xmlns:a="http://schemas.openxmlformats.org/drawingml/2006/main">
          <a:endParaRPr lang="en-US" kern="1200"/>
        </a:p>
        <a:p xmlns:a="http://schemas.openxmlformats.org/drawingml/2006/main">
          <a:endParaRPr lang="en-US" kern="1200"/>
        </a:p>
        <a:p xmlns:a="http://schemas.openxmlformats.org/drawingml/2006/main">
          <a:endParaRPr lang="en-US" kern="1200"/>
        </a:p>
        <a:p xmlns:a="http://schemas.openxmlformats.org/drawingml/2006/main">
          <a:endParaRPr lang="en-US" kern="1200"/>
        </a:p>
        <a:p xmlns:a="http://schemas.openxmlformats.org/drawingml/2006/main">
          <a:endParaRPr lang="en-US" kern="1200"/>
        </a:p>
        <a:p xmlns:a="http://schemas.openxmlformats.org/drawingml/2006/main">
          <a:r>
            <a:rPr lang="en-US" kern="1200"/>
            <a:t>           </a:t>
          </a:r>
          <a:r>
            <a:rPr lang="en-US" b="1" kern="1200">
              <a:solidFill>
                <a:sysClr val="windowText" lastClr="000000"/>
              </a:solidFill>
            </a:rPr>
            <a:t>Tier 1</a:t>
          </a:r>
          <a:br>
            <a:rPr lang="en-US" b="1" kern="1200">
              <a:solidFill>
                <a:sysClr val="windowText" lastClr="000000"/>
              </a:solidFill>
            </a:rPr>
          </a:br>
          <a:r>
            <a:rPr lang="en-US" b="1" kern="1200">
              <a:solidFill>
                <a:sysClr val="windowText" lastClr="000000"/>
              </a:solidFill>
            </a:rPr>
            <a:t>    June 1, 2028</a:t>
          </a:r>
        </a:p>
      </cdr:txBody>
    </cdr:sp>
  </cdr:relSizeAnchor>
  <cdr:relSizeAnchor xmlns:cdr="http://schemas.openxmlformats.org/drawingml/2006/chartDrawing">
    <cdr:from>
      <cdr:x>0.40011</cdr:x>
      <cdr:y>0.23866</cdr:y>
    </cdr:from>
    <cdr:to>
      <cdr:x>0.75778</cdr:x>
      <cdr:y>0.89244</cdr:y>
    </cdr:to>
    <cdr:sp macro="" textlink="">
      <cdr:nvSpPr>
        <cdr:cNvPr id="6" name="Freeform: Shape 5">
          <a:extLst xmlns:a="http://schemas.openxmlformats.org/drawingml/2006/main">
            <a:ext uri="{FF2B5EF4-FFF2-40B4-BE49-F238E27FC236}">
              <a16:creationId xmlns:a16="http://schemas.microsoft.com/office/drawing/2014/main" id="{C6FBD54D-8BA9-961B-3FAA-C0F50FAFD464}"/>
            </a:ext>
          </a:extLst>
        </cdr:cNvPr>
        <cdr:cNvSpPr/>
      </cdr:nvSpPr>
      <cdr:spPr>
        <a:xfrm xmlns:a="http://schemas.openxmlformats.org/drawingml/2006/main">
          <a:off x="2244724" y="901700"/>
          <a:ext cx="2006601" cy="2470161"/>
        </a:xfrm>
        <a:custGeom xmlns:a="http://schemas.openxmlformats.org/drawingml/2006/main">
          <a:avLst/>
          <a:gdLst>
            <a:gd name="connsiteX0" fmla="*/ 6350 w 1816100"/>
            <a:gd name="connsiteY0" fmla="*/ 2444750 h 2444750"/>
            <a:gd name="connsiteX1" fmla="*/ 0 w 1816100"/>
            <a:gd name="connsiteY1" fmla="*/ 1416050 h 2444750"/>
            <a:gd name="connsiteX2" fmla="*/ 1809750 w 1816100"/>
            <a:gd name="connsiteY2" fmla="*/ 0 h 2444750"/>
            <a:gd name="connsiteX3" fmla="*/ 1816100 w 1816100"/>
            <a:gd name="connsiteY3" fmla="*/ 2425700 h 2444750"/>
            <a:gd name="connsiteX4" fmla="*/ 6350 w 1816100"/>
            <a:gd name="connsiteY4" fmla="*/ 2444750 h 244475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816100" h="2444750">
              <a:moveTo>
                <a:pt x="6350" y="2444750"/>
              </a:moveTo>
              <a:cubicBezTo>
                <a:pt x="4233" y="2101850"/>
                <a:pt x="2117" y="1758950"/>
                <a:pt x="0" y="1416050"/>
              </a:cubicBezTo>
              <a:lnTo>
                <a:pt x="1809750" y="0"/>
              </a:lnTo>
              <a:cubicBezTo>
                <a:pt x="1811867" y="808567"/>
                <a:pt x="1813983" y="1617133"/>
                <a:pt x="1816100" y="2425700"/>
              </a:cubicBezTo>
              <a:lnTo>
                <a:pt x="6350" y="2444750"/>
              </a:lnTo>
              <a:close/>
            </a:path>
          </a:pathLst>
        </a:custGeom>
        <a:solidFill xmlns:a="http://schemas.openxmlformats.org/drawingml/2006/main">
          <a:schemeClr val="accent4">
            <a:lumMod val="40000"/>
            <a:lumOff val="60000"/>
          </a:schemeClr>
        </a:solidFill>
        <a:ln xmlns:a="http://schemas.openxmlformats.org/drawingml/2006/main" w="12700">
          <a:solidFill>
            <a:schemeClr val="accent1">
              <a:shade val="15000"/>
            </a:schemeClr>
          </a:solid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kern="1200"/>
        </a:p>
        <a:p xmlns:a="http://schemas.openxmlformats.org/drawingml/2006/main">
          <a:endParaRPr lang="en-US" kern="1200"/>
        </a:p>
        <a:p xmlns:a="http://schemas.openxmlformats.org/drawingml/2006/main">
          <a:endParaRPr lang="en-US" kern="1200"/>
        </a:p>
        <a:p xmlns:a="http://schemas.openxmlformats.org/drawingml/2006/main">
          <a:endParaRPr lang="en-US" kern="1200"/>
        </a:p>
        <a:p xmlns:a="http://schemas.openxmlformats.org/drawingml/2006/main">
          <a:endParaRPr lang="en-US" kern="1200"/>
        </a:p>
        <a:p xmlns:a="http://schemas.openxmlformats.org/drawingml/2006/main">
          <a:endParaRPr lang="en-US" kern="1200"/>
        </a:p>
        <a:p xmlns:a="http://schemas.openxmlformats.org/drawingml/2006/main">
          <a:endParaRPr lang="en-US" kern="1200"/>
        </a:p>
        <a:p xmlns:a="http://schemas.openxmlformats.org/drawingml/2006/main">
          <a:endParaRPr lang="en-US" kern="1200"/>
        </a:p>
        <a:p xmlns:a="http://schemas.openxmlformats.org/drawingml/2006/main">
          <a:endParaRPr lang="en-US" kern="1200"/>
        </a:p>
        <a:p xmlns:a="http://schemas.openxmlformats.org/drawingml/2006/main">
          <a:r>
            <a:rPr lang="en-US" kern="1200"/>
            <a:t>                               </a:t>
          </a:r>
          <a:r>
            <a:rPr lang="en-US" b="1" kern="1200">
              <a:solidFill>
                <a:sysClr val="windowText" lastClr="000000"/>
              </a:solidFill>
            </a:rPr>
            <a:t>Tier 1</a:t>
          </a:r>
          <a:br>
            <a:rPr lang="en-US" b="1" kern="1200">
              <a:solidFill>
                <a:sysClr val="windowText" lastClr="000000"/>
              </a:solidFill>
            </a:rPr>
          </a:br>
          <a:r>
            <a:rPr lang="en-US" b="1" kern="1200">
              <a:solidFill>
                <a:sysClr val="windowText" lastClr="000000"/>
              </a:solidFill>
            </a:rPr>
            <a:t>                      June 1, 2029</a:t>
          </a:r>
        </a:p>
      </cdr:txBody>
    </cdr:sp>
  </cdr:relSizeAnchor>
  <cdr:relSizeAnchor xmlns:cdr="http://schemas.openxmlformats.org/drawingml/2006/chartDrawing">
    <cdr:from>
      <cdr:x>0.25578</cdr:x>
      <cdr:y>0.61597</cdr:y>
    </cdr:from>
    <cdr:to>
      <cdr:x>0.39955</cdr:x>
      <cdr:y>0.89244</cdr:y>
    </cdr:to>
    <cdr:sp macro="" textlink="">
      <cdr:nvSpPr>
        <cdr:cNvPr id="7" name="Freeform: Shape 6">
          <a:extLst xmlns:a="http://schemas.openxmlformats.org/drawingml/2006/main">
            <a:ext uri="{FF2B5EF4-FFF2-40B4-BE49-F238E27FC236}">
              <a16:creationId xmlns:a16="http://schemas.microsoft.com/office/drawing/2014/main" id="{2819D0AA-6CED-A261-6A09-A89F151DD3F3}"/>
            </a:ext>
          </a:extLst>
        </cdr:cNvPr>
        <cdr:cNvSpPr/>
      </cdr:nvSpPr>
      <cdr:spPr>
        <a:xfrm xmlns:a="http://schemas.openxmlformats.org/drawingml/2006/main">
          <a:off x="1434984" y="2327275"/>
          <a:ext cx="806566" cy="1044586"/>
        </a:xfrm>
        <a:custGeom xmlns:a="http://schemas.openxmlformats.org/drawingml/2006/main">
          <a:avLst/>
          <a:gdLst>
            <a:gd name="connsiteX0" fmla="*/ 0 w 730250"/>
            <a:gd name="connsiteY0" fmla="*/ 1028700 h 1028700"/>
            <a:gd name="connsiteX1" fmla="*/ 0 w 730250"/>
            <a:gd name="connsiteY1" fmla="*/ 571500 h 1028700"/>
            <a:gd name="connsiteX2" fmla="*/ 730250 w 730250"/>
            <a:gd name="connsiteY2" fmla="*/ 0 h 1028700"/>
            <a:gd name="connsiteX3" fmla="*/ 730250 w 730250"/>
            <a:gd name="connsiteY3" fmla="*/ 1022350 h 1028700"/>
            <a:gd name="connsiteX4" fmla="*/ 0 w 730250"/>
            <a:gd name="connsiteY4" fmla="*/ 1028700 h 10287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730250" h="1028700">
              <a:moveTo>
                <a:pt x="0" y="1028700"/>
              </a:moveTo>
              <a:lnTo>
                <a:pt x="0" y="571500"/>
              </a:lnTo>
              <a:lnTo>
                <a:pt x="730250" y="0"/>
              </a:lnTo>
              <a:lnTo>
                <a:pt x="730250" y="1022350"/>
              </a:lnTo>
              <a:lnTo>
                <a:pt x="0" y="1028700"/>
              </a:lnTo>
              <a:close/>
            </a:path>
          </a:pathLst>
        </a:custGeom>
        <a:solidFill xmlns:a="http://schemas.openxmlformats.org/drawingml/2006/main">
          <a:schemeClr val="accent4">
            <a:lumMod val="20000"/>
            <a:lumOff val="80000"/>
          </a:schemeClr>
        </a:solidFill>
        <a:ln xmlns:a="http://schemas.openxmlformats.org/drawingml/2006/main" w="12700"/>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lIns="0" tIns="0" rIns="0" bIns="0"/>
        <a:lstStyle xmlns:a="http://schemas.openxmlformats.org/drawingml/2006/main"/>
        <a:p xmlns:a="http://schemas.openxmlformats.org/drawingml/2006/main">
          <a:endParaRPr lang="en-US" kern="1200"/>
        </a:p>
        <a:p xmlns:a="http://schemas.openxmlformats.org/drawingml/2006/main">
          <a:endParaRPr lang="en-US" kern="1200"/>
        </a:p>
        <a:p xmlns:a="http://schemas.openxmlformats.org/drawingml/2006/main">
          <a:endParaRPr lang="en-US" kern="1200"/>
        </a:p>
        <a:p xmlns:a="http://schemas.openxmlformats.org/drawingml/2006/main">
          <a:r>
            <a:rPr lang="en-US" sz="1000" kern="1200"/>
            <a:t>     </a:t>
          </a:r>
          <a:r>
            <a:rPr lang="en-US" sz="1000" b="1" kern="1200">
              <a:solidFill>
                <a:sysClr val="windowText" lastClr="000000"/>
              </a:solidFill>
            </a:rPr>
            <a:t> </a:t>
          </a:r>
          <a:r>
            <a:rPr lang="en-US" sz="1100" b="1" kern="1200">
              <a:solidFill>
                <a:sysClr val="windowText" lastClr="000000"/>
              </a:solidFill>
            </a:rPr>
            <a:t>    Tier 1</a:t>
          </a:r>
          <a:r>
            <a:rPr lang="en-US" sz="1100" b="1" kern="1200" baseline="0">
              <a:solidFill>
                <a:sysClr val="windowText" lastClr="000000"/>
              </a:solidFill>
            </a:rPr>
            <a:t> </a:t>
          </a:r>
          <a:br>
            <a:rPr lang="en-US" sz="1100" b="1" kern="1200" baseline="0">
              <a:solidFill>
                <a:sysClr val="windowText" lastClr="000000"/>
              </a:solidFill>
            </a:rPr>
          </a:br>
          <a:r>
            <a:rPr lang="en-US" sz="1100" b="1" kern="1200" baseline="0">
              <a:solidFill>
                <a:sysClr val="windowText" lastClr="000000"/>
              </a:solidFill>
            </a:rPr>
            <a:t>  </a:t>
          </a:r>
          <a:r>
            <a:rPr lang="en-US" sz="1100" b="1" kern="1200">
              <a:solidFill>
                <a:sysClr val="windowText" lastClr="000000"/>
              </a:solidFill>
            </a:rPr>
            <a:t>June 1,</a:t>
          </a:r>
          <a:r>
            <a:rPr lang="en-US" sz="1100" b="1" kern="1200" baseline="0">
              <a:solidFill>
                <a:sysClr val="windowText" lastClr="000000"/>
              </a:solidFill>
            </a:rPr>
            <a:t> </a:t>
          </a:r>
          <a:r>
            <a:rPr lang="en-US" sz="1100" b="1" kern="1200">
              <a:solidFill>
                <a:sysClr val="windowText" lastClr="000000"/>
              </a:solidFill>
            </a:rPr>
            <a:t>2030</a:t>
          </a:r>
        </a:p>
      </cdr:txBody>
    </cdr:sp>
  </cdr:relSizeAnchor>
  <cdr:relSizeAnchor xmlns:cdr="http://schemas.openxmlformats.org/drawingml/2006/chartDrawing">
    <cdr:from>
      <cdr:x>0.20826</cdr:x>
      <cdr:y>0.76975</cdr:y>
    </cdr:from>
    <cdr:to>
      <cdr:x>0.25523</cdr:x>
      <cdr:y>0.89244</cdr:y>
    </cdr:to>
    <cdr:sp macro="" textlink="">
      <cdr:nvSpPr>
        <cdr:cNvPr id="12" name="Freeform: Shape 11">
          <a:extLst xmlns:a="http://schemas.openxmlformats.org/drawingml/2006/main">
            <a:ext uri="{FF2B5EF4-FFF2-40B4-BE49-F238E27FC236}">
              <a16:creationId xmlns:a16="http://schemas.microsoft.com/office/drawing/2014/main" id="{68AE630C-E13A-A2F0-37C4-F3B6A952B5BD}"/>
            </a:ext>
          </a:extLst>
        </cdr:cNvPr>
        <cdr:cNvSpPr/>
      </cdr:nvSpPr>
      <cdr:spPr>
        <a:xfrm xmlns:a="http://schemas.openxmlformats.org/drawingml/2006/main">
          <a:off x="1168385" y="2908308"/>
          <a:ext cx="263540" cy="463553"/>
        </a:xfrm>
        <a:custGeom xmlns:a="http://schemas.openxmlformats.org/drawingml/2006/main">
          <a:avLst/>
          <a:gdLst>
            <a:gd name="connsiteX0" fmla="*/ 0 w 234950"/>
            <a:gd name="connsiteY0" fmla="*/ 190500 h 450850"/>
            <a:gd name="connsiteX1" fmla="*/ 234950 w 234950"/>
            <a:gd name="connsiteY1" fmla="*/ 0 h 450850"/>
            <a:gd name="connsiteX2" fmla="*/ 228600 w 234950"/>
            <a:gd name="connsiteY2" fmla="*/ 450850 h 450850"/>
            <a:gd name="connsiteX3" fmla="*/ 6350 w 234950"/>
            <a:gd name="connsiteY3" fmla="*/ 450850 h 450850"/>
            <a:gd name="connsiteX4" fmla="*/ 0 w 234950"/>
            <a:gd name="connsiteY4" fmla="*/ 190500 h 45085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34950" h="450850">
              <a:moveTo>
                <a:pt x="0" y="190500"/>
              </a:moveTo>
              <a:lnTo>
                <a:pt x="234950" y="0"/>
              </a:lnTo>
              <a:cubicBezTo>
                <a:pt x="232833" y="150283"/>
                <a:pt x="230717" y="300567"/>
                <a:pt x="228600" y="450850"/>
              </a:cubicBezTo>
              <a:lnTo>
                <a:pt x="6350" y="450850"/>
              </a:lnTo>
              <a:lnTo>
                <a:pt x="0" y="190500"/>
              </a:lnTo>
              <a:close/>
            </a:path>
          </a:pathLst>
        </a:custGeom>
        <a:solidFill xmlns:a="http://schemas.openxmlformats.org/drawingml/2006/main">
          <a:schemeClr val="accent6">
            <a:lumMod val="20000"/>
            <a:lumOff val="80000"/>
          </a:schemeClr>
        </a:solidFill>
        <a:ln xmlns:a="http://schemas.openxmlformats.org/drawingml/2006/main" w="12700"/>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lIns="0" tIns="0" rIns="0" bIns="0"/>
        <a:lstStyle xmlns:a="http://schemas.openxmlformats.org/drawingml/2006/main"/>
        <a:p xmlns:a="http://schemas.openxmlformats.org/drawingml/2006/main">
          <a:endParaRPr lang="en-US" sz="1100" b="1" kern="1200">
            <a:solidFill>
              <a:sysClr val="windowText" lastClr="000000"/>
            </a:solidFill>
          </a:endParaRPr>
        </a:p>
        <a:p xmlns:a="http://schemas.openxmlformats.org/drawingml/2006/main">
          <a:r>
            <a:rPr lang="en-US" sz="800" b="1" kern="1200">
              <a:solidFill>
                <a:sysClr val="windowText" lastClr="000000"/>
              </a:solidFill>
            </a:rPr>
            <a:t>  Reg</a:t>
          </a:r>
        </a:p>
        <a:p xmlns:a="http://schemas.openxmlformats.org/drawingml/2006/main">
          <a:r>
            <a:rPr lang="en-US" sz="800" b="1" kern="1200">
              <a:solidFill>
                <a:sysClr val="windowText" lastClr="000000"/>
              </a:solidFill>
            </a:rPr>
            <a:t> Tier 2</a:t>
          </a:r>
        </a:p>
      </cdr:txBody>
    </cdr:sp>
  </cdr:relSizeAnchor>
  <cdr:relSizeAnchor xmlns:cdr="http://schemas.openxmlformats.org/drawingml/2006/chartDrawing">
    <cdr:from>
      <cdr:x>0.30736</cdr:x>
      <cdr:y>0.25997</cdr:y>
    </cdr:from>
    <cdr:to>
      <cdr:x>0.4632</cdr:x>
      <cdr:y>0.38278</cdr:y>
    </cdr:to>
    <cdr:sp macro="" textlink="">
      <cdr:nvSpPr>
        <cdr:cNvPr id="2" name="TextBox 1">
          <a:extLst xmlns:a="http://schemas.openxmlformats.org/drawingml/2006/main">
            <a:ext uri="{FF2B5EF4-FFF2-40B4-BE49-F238E27FC236}">
              <a16:creationId xmlns:a16="http://schemas.microsoft.com/office/drawing/2014/main" id="{791CBD7E-389A-9129-2639-EF167741B2C5}"/>
            </a:ext>
          </a:extLst>
        </cdr:cNvPr>
        <cdr:cNvSpPr txBox="1"/>
      </cdr:nvSpPr>
      <cdr:spPr>
        <a:xfrm xmlns:a="http://schemas.openxmlformats.org/drawingml/2006/main">
          <a:off x="1803400" y="1035050"/>
          <a:ext cx="914400" cy="488950"/>
        </a:xfrm>
        <a:prstGeom xmlns:a="http://schemas.openxmlformats.org/drawingml/2006/main" prst="rect">
          <a:avLst/>
        </a:prstGeom>
        <a:noFill xmlns:a="http://schemas.openxmlformats.org/drawingml/2006/main"/>
      </cdr:spPr>
      <cdr:txBody>
        <a:bodyPr xmlns:a="http://schemas.openxmlformats.org/drawingml/2006/main" vertOverflow="clip" wrap="none" rtlCol="0"/>
        <a:lstStyle xmlns:a="http://schemas.openxmlformats.org/drawingml/2006/main"/>
        <a:p xmlns:a="http://schemas.openxmlformats.org/drawingml/2006/main">
          <a:r>
            <a:rPr lang="en-US" sz="1100" b="1" kern="1200">
              <a:solidFill>
                <a:sysClr val="windowText" lastClr="000000"/>
              </a:solidFill>
            </a:rPr>
            <a:t>Special Tier 2</a:t>
          </a:r>
          <a:br>
            <a:rPr lang="en-US" sz="1100" b="1" kern="1200">
              <a:solidFill>
                <a:sysClr val="windowText" lastClr="000000"/>
              </a:solidFill>
            </a:rPr>
          </a:br>
          <a:r>
            <a:rPr lang="en-US" sz="1100" b="1" kern="1200">
              <a:solidFill>
                <a:sysClr val="windowText" lastClr="000000"/>
              </a:solidFill>
            </a:rPr>
            <a:t> July 1, 2028</a:t>
          </a:r>
        </a:p>
      </cdr:txBody>
    </cdr:sp>
  </cdr:relSizeAnchor>
</c:userShapes>
</file>

<file path=xl/persons/person.xml><?xml version="1.0" encoding="utf-8"?>
<personList xmlns="http://schemas.microsoft.com/office/spreadsheetml/2018/threadedcomments" xmlns:x="http://schemas.openxmlformats.org/spreadsheetml/2006/main">
  <person displayName="Lisa Gartland" id="{BB705949-55A0-4936-AFF0-139D9A760277}" userId="Lisa Gartland"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F44" dT="2025-04-15T19:41:38.00" personId="{BB705949-55A0-4936-AFF0-139D9A760277}" id="{BAF8FBBD-99A8-490E-80D3-16B4D05CFB9D}">
    <text>Added values for type 39, food sales</text>
  </threadedComment>
  <threadedComment ref="G44" dT="2025-04-15T19:41:45.24" personId="{BB705949-55A0-4936-AFF0-139D9A760277}" id="{52A3C824-831E-49AA-9F60-90EEDB56CB65}">
    <text>Added values for type 39, food sales</text>
  </threadedComment>
  <threadedComment ref="H44" dT="2025-04-15T19:41:29.06" personId="{BB705949-55A0-4936-AFF0-139D9A760277}" id="{BEF31AA6-AE7F-46B1-8EF8-99378C24A225}">
    <text>Added values for type 39, food sales</text>
  </threadedComment>
  <threadedComment ref="I44" dT="2025-04-15T19:41:23.55" personId="{BB705949-55A0-4936-AFF0-139D9A760277}" id="{0DA9DAF8-E448-4B94-AF72-B676B2E9CCA9}">
    <text>Added values for type 39, food sales</text>
  </threadedComment>
  <threadedComment ref="J44" dT="2025-04-15T19:41:18.47" personId="{BB705949-55A0-4936-AFF0-139D9A760277}" id="{8623D1FD-92A2-4FF3-9EB6-442C2CDAF391}">
    <text>Added values for type 39, food sales</text>
  </threadedComment>
  <threadedComment ref="K44" dT="2025-04-15T19:41:06.71" personId="{BB705949-55A0-4936-AFF0-139D9A760277}" id="{C284036D-4FEF-47E7-A627-388231BF12F5}">
    <text>Added values for type 39, food sales</text>
  </threadedComment>
  <threadedComment ref="L44" dT="2025-04-15T19:41:00.30" personId="{BB705949-55A0-4936-AFF0-139D9A760277}" id="{2CBC5CE7-C292-450C-85C5-274A2D8BE15C}">
    <text>Added values for type 39, food sales</text>
  </threadedComment>
  <threadedComment ref="M44" dT="2025-04-15T19:40:54.70" personId="{BB705949-55A0-4936-AFF0-139D9A760277}" id="{CB4CBFE3-177F-46F8-84ED-A9E79C0DAB02}">
    <text>Added values for type 39, food sales</text>
  </threadedComment>
  <threadedComment ref="F47" dT="2025-04-15T19:43:06.61" personId="{BB705949-55A0-4936-AFF0-139D9A760277}" id="{35CB99EA-457F-4B7B-B027-3529ABDD3B30}">
    <text>Added values for type 43, food service</text>
  </threadedComment>
  <threadedComment ref="G47" dT="2025-04-15T19:43:15.73" personId="{BB705949-55A0-4936-AFF0-139D9A760277}" id="{A04AC23D-AC09-43AA-AE43-9698A5E72F1F}">
    <text>Added values for type 43, food service</text>
  </threadedComment>
  <threadedComment ref="H47" dT="2025-04-15T19:43:20.81" personId="{BB705949-55A0-4936-AFF0-139D9A760277}" id="{9A412642-C248-4DBC-B686-DE2DCAE6CCEA}">
    <text>Added values for type 43, food service</text>
  </threadedComment>
  <threadedComment ref="I47" dT="2025-04-15T19:43:30.23" personId="{BB705949-55A0-4936-AFF0-139D9A760277}" id="{CDD1979A-6865-478D-9873-E22F55FFD860}">
    <text>Added values for type 43, food service</text>
  </threadedComment>
  <threadedComment ref="J47" dT="2025-04-15T19:43:40.55" personId="{BB705949-55A0-4936-AFF0-139D9A760277}" id="{0E08B13D-5852-45F5-A7E3-0DA42242E4A6}">
    <text>Added values for type 43, food service</text>
  </threadedComment>
  <threadedComment ref="K47" dT="2025-04-15T19:43:46.04" personId="{BB705949-55A0-4936-AFF0-139D9A760277}" id="{556888A6-4E98-420F-BB9C-31F65F293126}">
    <text>Added values for type 43, food service</text>
  </threadedComment>
  <threadedComment ref="L47" dT="2025-04-15T19:42:57.89" personId="{BB705949-55A0-4936-AFF0-139D9A760277}" id="{78994CA4-B685-4EB6-B522-8F57781D8CCD}">
    <text>Added values for type 43, food service</text>
  </threadedComment>
  <threadedComment ref="M47" dT="2025-04-15T19:42:36.62" personId="{BB705949-55A0-4936-AFF0-139D9A760277}" id="{541B1326-A162-4EDC-8ECD-33C043844D4B}">
    <text>Added values for type 43, food service</text>
  </threadedComment>
  <threadedComment ref="F50" dT="2025-04-15T19:30:22.40" personId="{BB705949-55A0-4936-AFF0-139D9A760277}" id="{A0E53C62-0E6C-4E5B-B082-1106427BEDC8}">
    <text>Added values from type 39, food sales</text>
  </threadedComment>
  <threadedComment ref="G50" dT="2025-04-15T19:30:17.47" personId="{BB705949-55A0-4936-AFF0-139D9A760277}" id="{87BA8B15-753E-41B7-A62D-6D738EE272CD}">
    <text>Added values from type 39, food sales</text>
  </threadedComment>
  <threadedComment ref="H50" dT="2025-04-15T19:30:12.85" personId="{BB705949-55A0-4936-AFF0-139D9A760277}" id="{CE5B41C5-DE18-4F70-94B4-CAFC02FB7906}">
    <text>Added values from type 39, food sales</text>
  </threadedComment>
  <threadedComment ref="I50" dT="2025-04-15T19:30:07.91" personId="{BB705949-55A0-4936-AFF0-139D9A760277}" id="{02A8F341-E229-4917-9A86-2F3AD7EC08CE}">
    <text>Added values from type 39, food sales</text>
  </threadedComment>
  <threadedComment ref="J50" dT="2025-04-15T19:30:03.00" personId="{BB705949-55A0-4936-AFF0-139D9A760277}" id="{04E118FF-A534-47AA-99E6-58E9801AF6F0}">
    <text>Added values from type 39, food sales</text>
  </threadedComment>
  <threadedComment ref="K50" dT="2025-04-15T19:29:55.95" personId="{BB705949-55A0-4936-AFF0-139D9A760277}" id="{635F2EC3-ECEB-4707-BF49-72D5948EF4B9}">
    <text>Added values from type 39, food sales</text>
  </threadedComment>
  <threadedComment ref="L50" dT="2025-04-15T19:29:49.63" personId="{BB705949-55A0-4936-AFF0-139D9A760277}" id="{5CD4B20A-4508-4FAE-A1D9-AFD799CC60BA}">
    <text>Added values from type 39, food sales</text>
  </threadedComment>
  <threadedComment ref="M50" dT="2025-04-15T19:29:20.97" personId="{BB705949-55A0-4936-AFF0-139D9A760277}" id="{63A49891-8447-40A5-9D1D-D9FDB1040718}">
    <text>Added values from type 39, food sales</text>
  </threadedComment>
  <threadedComment ref="R50" dT="2025-04-15T19:31:01.05" personId="{BB705949-55A0-4936-AFF0-139D9A760277}" id="{3D4EB8D4-4607-44E7-B06C-ECC79A0086BE}">
    <text>Removing note 4, this is not going to be a mixed-use type</text>
  </threadedComment>
  <threadedComment ref="F54" dT="2025-04-15T19:27:38.57" personId="{BB705949-55A0-4936-AFF0-139D9A760277}" id="{AB50E2DE-F5C6-4BAD-A8CF-B272FDB7A103}">
    <text>Added values from type 72, medical office</text>
  </threadedComment>
  <threadedComment ref="G54" dT="2025-04-15T19:27:29.54" personId="{BB705949-55A0-4936-AFF0-139D9A760277}" id="{033971E7-34F6-4DCF-BA03-329EBB0440A2}">
    <text>Added values from type 72, medical office</text>
  </threadedComment>
  <threadedComment ref="H54" dT="2025-04-15T19:27:19.66" personId="{BB705949-55A0-4936-AFF0-139D9A760277}" id="{58B016D1-37B5-43BC-AEFB-A8B805EFCDF4}">
    <text>Added values from type 72, medical office</text>
  </threadedComment>
  <threadedComment ref="I54" dT="2025-04-15T19:27:09.98" personId="{BB705949-55A0-4936-AFF0-139D9A760277}" id="{7ADC0345-FE3D-4E61-8AF9-2CA9487C63A7}">
    <text>Added values from type 72, medical office</text>
  </threadedComment>
  <threadedComment ref="J54" dT="2025-04-15T19:27:05.70" personId="{BB705949-55A0-4936-AFF0-139D9A760277}" id="{B96A6D47-67C4-4462-9881-44F0015B6A7C}">
    <text>Added values from type 72, medical office</text>
  </threadedComment>
  <threadedComment ref="K54" dT="2025-04-15T19:26:55.65" personId="{BB705949-55A0-4936-AFF0-139D9A760277}" id="{D9FE7451-50DE-4778-8BCC-856085F3DC3B}">
    <text>Added values from type 72, medical office</text>
  </threadedComment>
  <threadedComment ref="L54" dT="2025-04-15T19:26:43.17" personId="{BB705949-55A0-4936-AFF0-139D9A760277}" id="{3931377B-CE27-4315-8B5B-A40C3D5794EF}">
    <text>Added values from type 72, medical office</text>
  </threadedComment>
  <threadedComment ref="M54" dT="2025-04-15T19:26:02.08" personId="{BB705949-55A0-4936-AFF0-139D9A760277}" id="{EBD270AC-31C7-403F-A03B-B056B0422A7A}">
    <text>Added values from type 72, medical office</text>
  </threadedComment>
  <threadedComment ref="F70" dT="2025-04-15T19:27:43.13" personId="{BB705949-55A0-4936-AFF0-139D9A760277}" id="{686A398C-B99A-4E54-A296-83F4FE6E130B}">
    <text>Added values from type 72, medical office</text>
  </threadedComment>
  <threadedComment ref="G70" dT="2025-04-15T19:27:34.10" personId="{BB705949-55A0-4936-AFF0-139D9A760277}" id="{18B0F1D6-51F0-4899-9389-B284D97887F0}">
    <text>Added values from type 72, medical office</text>
  </threadedComment>
  <threadedComment ref="H70" dT="2025-04-15T19:27:24.67" personId="{BB705949-55A0-4936-AFF0-139D9A760277}" id="{19D91DF7-500B-4A45-96A9-F25A38819CDE}">
    <text>Added values from type 72, medical office</text>
  </threadedComment>
  <threadedComment ref="I70" dT="2025-04-15T19:27:14.27" personId="{BB705949-55A0-4936-AFF0-139D9A760277}" id="{DCFD9FFE-96F5-418F-BA90-AFAF83EAB246}">
    <text>Added values from type 72, medical office</text>
  </threadedComment>
  <threadedComment ref="J70" dT="2025-04-15T19:27:01.42" personId="{BB705949-55A0-4936-AFF0-139D9A760277}" id="{C74F34DB-4D90-4DC3-89C6-0E8404408247}">
    <text>Added values from type 72, medical office</text>
  </threadedComment>
  <threadedComment ref="K70" dT="2025-04-15T19:26:51.39" personId="{BB705949-55A0-4936-AFF0-139D9A760277}" id="{5AA1E001-2EAC-42BA-8546-E4854009A887}">
    <text>Added values from type 72, medical office</text>
  </threadedComment>
  <threadedComment ref="L70" dT="2025-04-15T19:26:37.76" personId="{BB705949-55A0-4936-AFF0-139D9A760277}" id="{F038EBC5-6C00-4061-91EE-411A15D11876}">
    <text>Added values from type 72, medical office</text>
  </threadedComment>
  <threadedComment ref="M70" dT="2025-04-15T19:26:30.74" personId="{BB705949-55A0-4936-AFF0-139D9A760277}" id="{4133F171-1323-4C81-ACB5-25431E832094}">
    <text>Added values from type 72, medical office</text>
  </threadedComment>
  <threadedComment ref="F95" dT="2025-04-15T19:46:01.70" personId="{BB705949-55A0-4936-AFF0-139D9A760277}" id="{EEE5973A-FCEF-40E8-AE0D-05EA4563CCE8}">
    <text>Added values for type 92, other retail</text>
  </threadedComment>
  <threadedComment ref="G95" dT="2025-04-15T19:45:56.32" personId="{BB705949-55A0-4936-AFF0-139D9A760277}" id="{A3137A69-1257-4F63-8FFB-D0C5FBF568B3}">
    <text>Added values for type 92, other retail</text>
  </threadedComment>
  <threadedComment ref="H95" dT="2025-04-15T19:45:50.76" personId="{BB705949-55A0-4936-AFF0-139D9A760277}" id="{CE1858C2-E56F-4C82-9C2A-46A87DEAB494}">
    <text>Added values for type 92, other retail</text>
  </threadedComment>
  <threadedComment ref="I95" dT="2025-04-15T19:45:45.71" personId="{BB705949-55A0-4936-AFF0-139D9A760277}" id="{333C6FBB-E811-4C68-A2B4-F5F57443D3CE}">
    <text>Added values for type 92, other retail</text>
  </threadedComment>
  <threadedComment ref="J95" dT="2025-04-15T19:45:39.60" personId="{BB705949-55A0-4936-AFF0-139D9A760277}" id="{524B3F53-C523-4F48-8255-CF2323D4DFD4}">
    <text>Added values for type 92, other retail</text>
  </threadedComment>
  <threadedComment ref="K95" dT="2025-04-15T19:45:33.87" personId="{BB705949-55A0-4936-AFF0-139D9A760277}" id="{1689B497-0060-40BE-996E-3972DDE0BF81}">
    <text>Added values for type 92, other retail</text>
  </threadedComment>
  <threadedComment ref="L95" dT="2025-04-15T19:45:27.68" personId="{BB705949-55A0-4936-AFF0-139D9A760277}" id="{2BF51134-AE13-4170-9510-2749FEC3CB1C}">
    <text>Added values for type 92, other retail</text>
  </threadedComment>
  <threadedComment ref="M95" dT="2025-04-15T19:45:20.06" personId="{BB705949-55A0-4936-AFF0-139D9A760277}" id="{6110E8B9-3CD9-4948-9E96-DDD66D9697F6}">
    <text>Added values for type 92, other retail</text>
  </threadedComment>
  <threadedComment ref="O97" dT="2025-04-15T19:46:53.55" personId="{BB705949-55A0-4936-AFF0-139D9A760277}" id="{6CB676B3-57D1-4929-A770-F4732841CE5C}">
    <text>Added note 6 to make this a mixed use type and call for reapportionment</text>
  </threadedComment>
  <threadedComment ref="F101" dT="2025-04-15T19:47:29.87" personId="{BB705949-55A0-4936-AFF0-139D9A760277}" id="{0BDA3C18-49F8-4D6D-8EE1-ABD4F47F1657}">
    <text>Changed this to zero, mixed use building</text>
  </threadedComment>
  <threadedComment ref="G101" dT="2025-04-15T19:47:44.55" personId="{BB705949-55A0-4936-AFF0-139D9A760277}" id="{44D57893-44B3-4D73-8045-1FE27A09A3BB}">
    <text>Changed this to zero, mixed use building</text>
  </threadedComment>
  <threadedComment ref="O101" dT="2025-04-15T19:32:32.56" personId="{BB705949-55A0-4936-AFF0-139D9A760277}" id="{1FB87723-B345-4101-ADD5-31422A73EE37}">
    <text>Added note 6 to call for mixed-use reapportionment</text>
  </threadedComment>
  <threadedComment ref="R103" dT="2025-04-15T19:24:59.04" personId="{BB705949-55A0-4936-AFF0-139D9A760277}" id="{EFE33A37-63DD-4BE5-A503-F2671A4CA8D5}">
    <text>Added this note because it’s a laboratory space</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energy/save-energy/Pages/BPS.asp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BA47E-096C-455C-8FDB-8B9FBF3310C1}">
  <sheetPr codeName="Sheet1"/>
  <dimension ref="A1:J107"/>
  <sheetViews>
    <sheetView zoomScaleNormal="100" workbookViewId="0"/>
  </sheetViews>
  <sheetFormatPr defaultRowHeight="14.5" x14ac:dyDescent="0.35"/>
  <cols>
    <col min="1" max="1" width="13.54296875" customWidth="1"/>
    <col min="2" max="2" width="57.54296875" customWidth="1"/>
    <col min="3" max="3" width="16.26953125" customWidth="1"/>
    <col min="4" max="4" width="57.54296875" customWidth="1"/>
    <col min="5" max="5" width="59.81640625" customWidth="1"/>
    <col min="6" max="6" width="32.1796875" customWidth="1"/>
  </cols>
  <sheetData>
    <row r="1" spans="1:10" ht="15" thickBot="1" x14ac:dyDescent="0.4">
      <c r="A1" s="66" t="s">
        <v>568</v>
      </c>
      <c r="B1" s="157"/>
      <c r="C1" s="158"/>
      <c r="D1" s="158"/>
      <c r="E1" s="159"/>
      <c r="F1" s="14"/>
      <c r="G1" s="1"/>
      <c r="H1" s="1"/>
      <c r="I1" s="1"/>
      <c r="J1" s="1"/>
    </row>
    <row r="2" spans="1:10" x14ac:dyDescent="0.35">
      <c r="A2" s="111" t="s">
        <v>0</v>
      </c>
      <c r="B2" s="41"/>
      <c r="C2" s="1"/>
      <c r="D2" s="155" t="s">
        <v>1</v>
      </c>
      <c r="E2" s="156"/>
      <c r="F2" s="14"/>
      <c r="G2" s="1"/>
      <c r="H2" s="1"/>
      <c r="I2" s="1"/>
      <c r="J2" s="1"/>
    </row>
    <row r="3" spans="1:10" ht="14.5" customHeight="1" x14ac:dyDescent="0.35">
      <c r="A3" s="112" t="s">
        <v>2</v>
      </c>
      <c r="B3" s="41"/>
      <c r="C3" s="53"/>
      <c r="D3" s="86" t="s">
        <v>3</v>
      </c>
      <c r="E3" s="87"/>
      <c r="F3" s="14"/>
      <c r="G3" s="1"/>
      <c r="H3" s="1"/>
      <c r="I3" s="1"/>
      <c r="J3" s="1"/>
    </row>
    <row r="4" spans="1:10" ht="14.5" customHeight="1" x14ac:dyDescent="0.35">
      <c r="A4" s="154" t="s">
        <v>4</v>
      </c>
      <c r="B4" s="41"/>
      <c r="C4" s="52"/>
      <c r="D4" s="77" t="s">
        <v>5</v>
      </c>
      <c r="E4" s="88"/>
      <c r="F4" s="14"/>
      <c r="G4" s="1"/>
      <c r="H4" s="1"/>
      <c r="I4" s="1"/>
      <c r="J4" s="1"/>
    </row>
    <row r="5" spans="1:10" x14ac:dyDescent="0.35">
      <c r="C5" s="53"/>
      <c r="D5" s="77" t="s">
        <v>6</v>
      </c>
      <c r="E5" s="88"/>
      <c r="F5" s="14"/>
      <c r="G5" s="1"/>
      <c r="H5" s="1"/>
      <c r="I5" s="1"/>
      <c r="J5" s="1"/>
    </row>
    <row r="6" spans="1:10" x14ac:dyDescent="0.35">
      <c r="A6" s="14" t="s">
        <v>566</v>
      </c>
      <c r="B6" s="41"/>
      <c r="C6" s="53"/>
      <c r="D6" s="73" t="s">
        <v>7</v>
      </c>
      <c r="E6" s="88"/>
      <c r="F6" s="14"/>
      <c r="G6" s="1"/>
      <c r="H6" s="1"/>
      <c r="I6" s="1"/>
      <c r="J6" s="1"/>
    </row>
    <row r="7" spans="1:10" x14ac:dyDescent="0.35">
      <c r="A7" s="14" t="s">
        <v>567</v>
      </c>
      <c r="B7" s="41"/>
      <c r="C7" s="53"/>
      <c r="D7" s="89" t="s">
        <v>8</v>
      </c>
      <c r="E7" s="90"/>
      <c r="F7" s="14"/>
      <c r="G7" s="1"/>
      <c r="H7" s="1"/>
      <c r="I7" s="1"/>
      <c r="J7" s="1"/>
    </row>
    <row r="8" spans="1:10" x14ac:dyDescent="0.35">
      <c r="A8" s="14" t="s">
        <v>9</v>
      </c>
      <c r="B8" s="41"/>
      <c r="C8" s="53"/>
      <c r="D8" s="77" t="s">
        <v>10</v>
      </c>
      <c r="E8" s="88"/>
      <c r="F8" s="14"/>
      <c r="G8" s="1"/>
      <c r="H8" s="1"/>
      <c r="I8" s="1"/>
      <c r="J8" s="1"/>
    </row>
    <row r="9" spans="1:10" x14ac:dyDescent="0.35">
      <c r="A9" s="95" t="s">
        <v>11</v>
      </c>
      <c r="B9" s="41"/>
      <c r="C9" s="53"/>
      <c r="D9" s="89" t="s">
        <v>12</v>
      </c>
      <c r="E9" s="91"/>
      <c r="F9" s="14"/>
      <c r="G9" s="1"/>
      <c r="H9" s="1"/>
      <c r="I9" s="1"/>
      <c r="J9" s="1"/>
    </row>
    <row r="10" spans="1:10" x14ac:dyDescent="0.35">
      <c r="A10" s="14" t="s">
        <v>13</v>
      </c>
      <c r="B10" s="14"/>
      <c r="C10" s="53"/>
      <c r="D10" s="92" t="s">
        <v>14</v>
      </c>
      <c r="E10" s="91"/>
      <c r="F10" s="14"/>
      <c r="G10" s="1"/>
      <c r="H10" s="1"/>
      <c r="I10" s="1"/>
      <c r="J10" s="1"/>
    </row>
    <row r="11" spans="1:10" x14ac:dyDescent="0.35">
      <c r="A11" s="95" t="s">
        <v>15</v>
      </c>
      <c r="B11" s="1"/>
      <c r="C11" s="53"/>
      <c r="D11" s="96" t="s">
        <v>16</v>
      </c>
      <c r="E11" s="91"/>
      <c r="F11" s="14"/>
      <c r="G11" s="1"/>
      <c r="H11" s="1"/>
      <c r="I11" s="1"/>
      <c r="J11" s="1"/>
    </row>
    <row r="12" spans="1:10" x14ac:dyDescent="0.35">
      <c r="A12" s="95" t="s">
        <v>17</v>
      </c>
      <c r="B12" s="1"/>
      <c r="C12" s="53"/>
      <c r="D12" s="77" t="s">
        <v>18</v>
      </c>
      <c r="E12" s="75"/>
      <c r="F12" s="14"/>
      <c r="G12" s="1"/>
      <c r="H12" s="1"/>
      <c r="I12" s="1"/>
      <c r="J12" s="1"/>
    </row>
    <row r="13" spans="1:10" x14ac:dyDescent="0.35">
      <c r="A13" s="95" t="s">
        <v>19</v>
      </c>
      <c r="B13" s="1"/>
      <c r="C13" s="53"/>
      <c r="D13" s="92" t="s">
        <v>20</v>
      </c>
      <c r="E13" s="90"/>
      <c r="F13" s="14"/>
      <c r="G13" s="1"/>
      <c r="H13" s="1"/>
      <c r="I13" s="1"/>
      <c r="J13" s="1"/>
    </row>
    <row r="14" spans="1:10" ht="14.5" customHeight="1" x14ac:dyDescent="0.35">
      <c r="B14" s="1"/>
      <c r="C14" s="53"/>
      <c r="D14" s="92" t="s">
        <v>21</v>
      </c>
      <c r="E14" s="90"/>
      <c r="F14" s="14"/>
      <c r="G14" s="1"/>
      <c r="H14" s="1"/>
      <c r="I14" s="1"/>
      <c r="J14" s="1"/>
    </row>
    <row r="15" spans="1:10" x14ac:dyDescent="0.35">
      <c r="A15" s="112" t="s">
        <v>22</v>
      </c>
      <c r="B15" s="1"/>
      <c r="C15" s="53"/>
      <c r="D15" s="77" t="s">
        <v>23</v>
      </c>
      <c r="E15" s="75"/>
      <c r="F15" s="14"/>
      <c r="G15" s="1"/>
      <c r="H15" s="1"/>
      <c r="I15" s="1"/>
      <c r="J15" s="1"/>
    </row>
    <row r="16" spans="1:10" x14ac:dyDescent="0.35">
      <c r="A16" s="112" t="s">
        <v>24</v>
      </c>
      <c r="B16" s="1"/>
      <c r="C16" s="53"/>
      <c r="D16" s="89" t="s">
        <v>25</v>
      </c>
      <c r="E16" s="91"/>
      <c r="F16" s="14"/>
      <c r="G16" s="1"/>
      <c r="H16" s="1"/>
      <c r="I16" s="1"/>
      <c r="J16" s="1"/>
    </row>
    <row r="17" spans="1:10" x14ac:dyDescent="0.35">
      <c r="A17" s="112" t="s">
        <v>26</v>
      </c>
      <c r="B17" s="1"/>
      <c r="C17" s="53"/>
      <c r="D17" s="77" t="s">
        <v>27</v>
      </c>
      <c r="E17" s="75"/>
      <c r="F17" s="14"/>
      <c r="G17" s="1"/>
      <c r="H17" s="1"/>
      <c r="I17" s="1"/>
      <c r="J17" s="1"/>
    </row>
    <row r="18" spans="1:10" ht="15" thickBot="1" x14ac:dyDescent="0.4">
      <c r="B18" s="160" t="s">
        <v>28</v>
      </c>
      <c r="C18" s="53"/>
      <c r="D18" s="93" t="s">
        <v>29</v>
      </c>
      <c r="E18" s="94"/>
      <c r="F18" s="14"/>
      <c r="G18" s="1"/>
      <c r="H18" s="1"/>
      <c r="I18" s="1"/>
      <c r="J18" s="1"/>
    </row>
    <row r="19" spans="1:10" ht="15" thickBot="1" x14ac:dyDescent="0.4">
      <c r="A19" s="54" t="s">
        <v>30</v>
      </c>
      <c r="B19" s="97"/>
      <c r="C19" s="55"/>
      <c r="D19" s="84"/>
      <c r="E19" s="85"/>
      <c r="F19" s="14"/>
      <c r="G19" s="1"/>
      <c r="H19" s="1"/>
      <c r="I19" s="1"/>
      <c r="J19" s="1"/>
    </row>
    <row r="20" spans="1:10" ht="14.5" customHeight="1" x14ac:dyDescent="0.35">
      <c r="A20" s="121" t="s">
        <v>31</v>
      </c>
      <c r="B20" s="122"/>
      <c r="C20" s="254" t="s">
        <v>32</v>
      </c>
      <c r="D20" s="255"/>
      <c r="E20" s="56" t="s">
        <v>33</v>
      </c>
      <c r="F20" s="14"/>
      <c r="G20" s="1"/>
      <c r="H20" s="1"/>
      <c r="I20" s="1"/>
      <c r="J20" s="1"/>
    </row>
    <row r="21" spans="1:10" ht="72.5" x14ac:dyDescent="0.35">
      <c r="A21" s="123" t="s">
        <v>34</v>
      </c>
      <c r="B21" s="170" t="s">
        <v>35</v>
      </c>
      <c r="C21" s="150" t="s">
        <v>36</v>
      </c>
      <c r="D21" s="151" t="s">
        <v>37</v>
      </c>
      <c r="E21" s="57" t="s">
        <v>38</v>
      </c>
      <c r="F21" s="14"/>
      <c r="G21" s="1"/>
      <c r="H21" s="1"/>
      <c r="I21" s="1"/>
      <c r="J21" s="1"/>
    </row>
    <row r="22" spans="1:10" ht="159.5" x14ac:dyDescent="0.35">
      <c r="A22" s="125" t="s">
        <v>39</v>
      </c>
      <c r="B22" s="126" t="s">
        <v>40</v>
      </c>
      <c r="C22" s="152" t="s">
        <v>41</v>
      </c>
      <c r="D22" s="153" t="s">
        <v>42</v>
      </c>
      <c r="E22" s="58" t="s">
        <v>43</v>
      </c>
      <c r="F22" s="14"/>
      <c r="G22" s="1"/>
      <c r="H22" s="1"/>
      <c r="I22" s="1"/>
      <c r="J22" s="1"/>
    </row>
    <row r="23" spans="1:10" ht="72.5" x14ac:dyDescent="0.35">
      <c r="A23" s="127" t="s">
        <v>44</v>
      </c>
      <c r="B23" s="124" t="s">
        <v>45</v>
      </c>
      <c r="C23" s="47" t="s">
        <v>46</v>
      </c>
      <c r="D23" s="110" t="s">
        <v>47</v>
      </c>
      <c r="E23" s="59" t="s">
        <v>48</v>
      </c>
      <c r="F23" s="14"/>
      <c r="G23" s="1"/>
      <c r="H23" s="1"/>
      <c r="I23" s="1"/>
      <c r="J23" s="1"/>
    </row>
    <row r="24" spans="1:10" ht="333.5" x14ac:dyDescent="0.35">
      <c r="A24" s="128" t="s">
        <v>49</v>
      </c>
      <c r="B24" s="129" t="s">
        <v>50</v>
      </c>
      <c r="C24" s="42" t="s">
        <v>51</v>
      </c>
      <c r="D24" s="44" t="s">
        <v>52</v>
      </c>
      <c r="E24" s="60" t="s">
        <v>53</v>
      </c>
      <c r="F24" s="14"/>
      <c r="G24" s="1"/>
      <c r="H24" s="1"/>
      <c r="I24" s="1"/>
      <c r="J24" s="1"/>
    </row>
    <row r="25" spans="1:10" ht="246.5" x14ac:dyDescent="0.35">
      <c r="A25" s="130" t="s">
        <v>54</v>
      </c>
      <c r="B25" s="131" t="s">
        <v>55</v>
      </c>
      <c r="C25" s="45" t="s">
        <v>56</v>
      </c>
      <c r="D25" s="46" t="s">
        <v>57</v>
      </c>
      <c r="E25" s="60"/>
      <c r="F25" s="14"/>
      <c r="G25" s="1"/>
      <c r="H25" s="1"/>
      <c r="I25" s="1"/>
      <c r="J25" s="1"/>
    </row>
    <row r="26" spans="1:10" ht="43.5" x14ac:dyDescent="0.35">
      <c r="A26" s="132" t="s">
        <v>58</v>
      </c>
      <c r="B26" s="133" t="s">
        <v>59</v>
      </c>
      <c r="C26" s="47" t="s">
        <v>60</v>
      </c>
      <c r="D26" s="48" t="s">
        <v>61</v>
      </c>
      <c r="E26" s="61"/>
      <c r="F26" s="14"/>
      <c r="G26" s="1"/>
      <c r="H26" s="1"/>
      <c r="I26" s="1"/>
      <c r="J26" s="1"/>
    </row>
    <row r="27" spans="1:10" ht="80.150000000000006" customHeight="1" x14ac:dyDescent="0.35">
      <c r="A27" s="256" t="s">
        <v>62</v>
      </c>
      <c r="B27" s="142" t="s">
        <v>63</v>
      </c>
      <c r="C27" s="62" t="s">
        <v>64</v>
      </c>
      <c r="D27" s="43" t="s">
        <v>65</v>
      </c>
      <c r="E27" s="60"/>
      <c r="F27" s="14"/>
      <c r="G27" s="1"/>
      <c r="H27" s="1"/>
      <c r="I27" s="1"/>
      <c r="J27" s="1"/>
    </row>
    <row r="28" spans="1:10" ht="80.150000000000006" customHeight="1" x14ac:dyDescent="0.35">
      <c r="A28" s="257"/>
      <c r="B28" s="143" t="s">
        <v>66</v>
      </c>
      <c r="C28" s="49" t="s">
        <v>67</v>
      </c>
      <c r="D28" s="44" t="s">
        <v>68</v>
      </c>
      <c r="E28" s="60"/>
      <c r="F28" s="14"/>
      <c r="G28" s="1"/>
      <c r="H28" s="1"/>
      <c r="I28" s="1"/>
      <c r="J28" s="1"/>
    </row>
    <row r="29" spans="1:10" ht="85" customHeight="1" x14ac:dyDescent="0.35">
      <c r="A29" s="257"/>
      <c r="B29" s="143" t="s">
        <v>69</v>
      </c>
      <c r="C29" s="49" t="s">
        <v>70</v>
      </c>
      <c r="D29" s="44" t="s">
        <v>71</v>
      </c>
      <c r="E29" s="60"/>
      <c r="F29" s="14"/>
      <c r="G29" s="1"/>
      <c r="H29" s="1"/>
      <c r="I29" s="1"/>
      <c r="J29" s="1"/>
    </row>
    <row r="30" spans="1:10" ht="80.150000000000006" customHeight="1" x14ac:dyDescent="0.35">
      <c r="A30" s="258"/>
      <c r="B30" s="144"/>
      <c r="C30" s="113" t="s">
        <v>72</v>
      </c>
      <c r="D30" s="46" t="s">
        <v>73</v>
      </c>
      <c r="E30" s="60"/>
      <c r="F30" s="14"/>
      <c r="G30" s="1"/>
      <c r="H30" s="1"/>
      <c r="I30" s="1"/>
      <c r="J30" s="1"/>
    </row>
    <row r="31" spans="1:10" ht="87.5" thickBot="1" x14ac:dyDescent="0.4">
      <c r="A31" s="134"/>
      <c r="B31" s="135"/>
      <c r="C31" s="63" t="s">
        <v>74</v>
      </c>
      <c r="D31" s="64" t="s">
        <v>75</v>
      </c>
      <c r="E31" s="65"/>
      <c r="F31" s="14"/>
      <c r="G31" s="1"/>
      <c r="H31" s="1"/>
      <c r="I31" s="1"/>
      <c r="J31" s="1"/>
    </row>
    <row r="32" spans="1:10" ht="15" thickBot="1" x14ac:dyDescent="0.4">
      <c r="A32" s="50"/>
      <c r="B32" s="50"/>
      <c r="C32" s="15"/>
      <c r="D32" s="15"/>
      <c r="E32" s="15"/>
      <c r="F32" s="14"/>
      <c r="G32" s="1"/>
      <c r="H32" s="1"/>
      <c r="I32" s="1"/>
      <c r="J32" s="1"/>
    </row>
    <row r="33" spans="1:10" ht="15" thickBot="1" x14ac:dyDescent="0.4">
      <c r="A33" s="66" t="s">
        <v>76</v>
      </c>
      <c r="B33" s="67"/>
      <c r="C33" s="68"/>
      <c r="D33" s="68"/>
      <c r="E33" s="69"/>
      <c r="F33" s="14"/>
      <c r="G33" s="1"/>
      <c r="H33" s="1"/>
      <c r="I33" s="1"/>
      <c r="J33" s="1"/>
    </row>
    <row r="34" spans="1:10" x14ac:dyDescent="0.35">
      <c r="A34" s="70" t="s">
        <v>77</v>
      </c>
      <c r="B34" s="71"/>
      <c r="C34" s="72"/>
      <c r="D34" s="82" t="s">
        <v>78</v>
      </c>
      <c r="E34" s="72"/>
      <c r="F34" s="14"/>
      <c r="G34" s="1"/>
      <c r="H34" s="1"/>
      <c r="I34" s="1"/>
      <c r="J34" s="1"/>
    </row>
    <row r="35" spans="1:10" x14ac:dyDescent="0.35">
      <c r="A35" s="73" t="s">
        <v>79</v>
      </c>
      <c r="B35" s="74"/>
      <c r="C35" s="75"/>
      <c r="D35" s="77" t="s">
        <v>80</v>
      </c>
      <c r="E35" s="75"/>
      <c r="F35" s="14"/>
      <c r="G35" s="1"/>
      <c r="H35" s="1"/>
      <c r="I35" s="1"/>
      <c r="J35" s="1"/>
    </row>
    <row r="36" spans="1:10" x14ac:dyDescent="0.35">
      <c r="A36" s="73" t="s">
        <v>81</v>
      </c>
      <c r="B36" s="74"/>
      <c r="C36" s="75"/>
      <c r="D36" s="73" t="s">
        <v>81</v>
      </c>
      <c r="E36" s="75"/>
      <c r="F36" s="14"/>
      <c r="G36" s="1"/>
      <c r="H36" s="1"/>
      <c r="I36" s="1"/>
      <c r="J36" s="1"/>
    </row>
    <row r="37" spans="1:10" x14ac:dyDescent="0.35">
      <c r="A37" s="76" t="s">
        <v>82</v>
      </c>
      <c r="B37" s="74"/>
      <c r="C37" s="75"/>
      <c r="D37" s="76" t="s">
        <v>83</v>
      </c>
      <c r="E37" s="75"/>
      <c r="F37" s="14"/>
      <c r="G37" s="1"/>
      <c r="H37" s="1"/>
      <c r="I37" s="1"/>
      <c r="J37" s="1"/>
    </row>
    <row r="38" spans="1:10" x14ac:dyDescent="0.35">
      <c r="A38" s="77" t="s">
        <v>84</v>
      </c>
      <c r="B38" s="74"/>
      <c r="C38" s="75"/>
      <c r="D38" s="73" t="s">
        <v>85</v>
      </c>
      <c r="E38" s="75"/>
      <c r="F38" s="14"/>
      <c r="G38" s="1"/>
      <c r="H38" s="1"/>
      <c r="I38" s="1"/>
      <c r="J38" s="1"/>
    </row>
    <row r="39" spans="1:10" x14ac:dyDescent="0.35">
      <c r="A39" s="98" t="s">
        <v>86</v>
      </c>
      <c r="B39" s="74"/>
      <c r="C39" s="75"/>
      <c r="D39" s="73" t="s">
        <v>87</v>
      </c>
      <c r="E39" s="75"/>
      <c r="F39" s="14"/>
      <c r="G39" s="1"/>
      <c r="H39" s="1"/>
      <c r="I39" s="1"/>
      <c r="J39" s="1"/>
    </row>
    <row r="40" spans="1:10" x14ac:dyDescent="0.35">
      <c r="A40" s="98" t="s">
        <v>88</v>
      </c>
      <c r="B40" s="74"/>
      <c r="C40" s="75"/>
      <c r="D40" s="73" t="s">
        <v>89</v>
      </c>
      <c r="E40" s="75"/>
      <c r="F40" s="14"/>
      <c r="G40" s="1"/>
      <c r="H40" s="1"/>
      <c r="I40" s="1"/>
      <c r="J40" s="1"/>
    </row>
    <row r="41" spans="1:10" x14ac:dyDescent="0.35">
      <c r="A41" s="77" t="s">
        <v>90</v>
      </c>
      <c r="B41" s="99"/>
      <c r="C41" s="75"/>
      <c r="D41" s="73" t="s">
        <v>91</v>
      </c>
      <c r="E41" s="75"/>
      <c r="F41" s="14"/>
      <c r="G41" s="1"/>
      <c r="H41" s="1"/>
      <c r="I41" s="1"/>
      <c r="J41" s="1"/>
    </row>
    <row r="42" spans="1:10" x14ac:dyDescent="0.35">
      <c r="A42" s="77" t="s">
        <v>92</v>
      </c>
      <c r="B42" s="74"/>
      <c r="C42" s="75"/>
      <c r="D42" s="73" t="s">
        <v>93</v>
      </c>
      <c r="E42" s="75"/>
      <c r="F42" s="14"/>
      <c r="G42" s="1"/>
      <c r="H42" s="1"/>
      <c r="I42" s="1"/>
      <c r="J42" s="1"/>
    </row>
    <row r="43" spans="1:10" x14ac:dyDescent="0.35">
      <c r="A43" s="78" t="s">
        <v>94</v>
      </c>
      <c r="B43" s="74"/>
      <c r="C43" s="75"/>
      <c r="D43" s="73" t="s">
        <v>95</v>
      </c>
      <c r="E43" s="75"/>
      <c r="F43" s="14"/>
      <c r="G43" s="1"/>
      <c r="H43" s="1"/>
      <c r="I43" s="1"/>
      <c r="J43" s="1"/>
    </row>
    <row r="44" spans="1:10" x14ac:dyDescent="0.35">
      <c r="A44" s="78" t="s">
        <v>96</v>
      </c>
      <c r="B44" s="74"/>
      <c r="C44" s="75"/>
      <c r="D44" s="73" t="s">
        <v>97</v>
      </c>
      <c r="E44" s="75"/>
      <c r="F44" s="14"/>
      <c r="G44" s="1"/>
      <c r="H44" s="1"/>
      <c r="I44" s="1"/>
      <c r="J44" s="1"/>
    </row>
    <row r="45" spans="1:10" x14ac:dyDescent="0.35">
      <c r="A45" s="78" t="s">
        <v>98</v>
      </c>
      <c r="B45" s="74"/>
      <c r="C45" s="75"/>
      <c r="D45" s="73" t="s">
        <v>99</v>
      </c>
      <c r="E45" s="75"/>
      <c r="F45" s="14"/>
      <c r="G45" s="1"/>
      <c r="H45" s="1"/>
      <c r="I45" s="1"/>
      <c r="J45" s="1"/>
    </row>
    <row r="46" spans="1:10" ht="15" thickBot="1" x14ac:dyDescent="0.4">
      <c r="A46" s="79" t="s">
        <v>100</v>
      </c>
      <c r="B46" s="80"/>
      <c r="C46" s="81"/>
      <c r="D46" s="83" t="s">
        <v>101</v>
      </c>
      <c r="E46" s="81"/>
      <c r="F46" s="14"/>
      <c r="G46" s="1"/>
      <c r="H46" s="1"/>
      <c r="I46" s="1"/>
      <c r="J46" s="1"/>
    </row>
    <row r="47" spans="1:10" x14ac:dyDescent="0.35">
      <c r="B47" s="15"/>
      <c r="C47" s="14"/>
      <c r="D47" s="1"/>
      <c r="E47" s="14"/>
      <c r="F47" s="14"/>
      <c r="G47" s="1"/>
      <c r="H47" s="1"/>
      <c r="I47" s="1"/>
      <c r="J47" s="1"/>
    </row>
    <row r="48" spans="1:10" ht="16" x14ac:dyDescent="0.4">
      <c r="A48" s="51" t="s">
        <v>102</v>
      </c>
      <c r="B48" s="14"/>
      <c r="C48" s="14"/>
      <c r="D48" s="100" t="s">
        <v>103</v>
      </c>
      <c r="E48" s="14"/>
      <c r="F48" s="14"/>
      <c r="G48" s="1"/>
      <c r="H48" s="1"/>
      <c r="I48" s="1"/>
      <c r="J48" s="1"/>
    </row>
    <row r="49" spans="1:10" x14ac:dyDescent="0.35">
      <c r="A49" s="14"/>
      <c r="B49" s="14"/>
      <c r="C49" s="14"/>
      <c r="D49" s="100" t="s">
        <v>104</v>
      </c>
      <c r="F49" s="14"/>
      <c r="G49" s="1"/>
      <c r="H49" s="1"/>
      <c r="I49" s="1"/>
      <c r="J49" s="1"/>
    </row>
    <row r="50" spans="1:10" x14ac:dyDescent="0.35">
      <c r="A50" s="14"/>
      <c r="B50" s="14"/>
      <c r="C50" s="14"/>
      <c r="D50" s="100" t="s">
        <v>105</v>
      </c>
      <c r="E50" s="1"/>
      <c r="F50" s="14"/>
      <c r="G50" s="1"/>
      <c r="H50" s="1"/>
      <c r="I50" s="1"/>
      <c r="J50" s="1"/>
    </row>
    <row r="51" spans="1:10" x14ac:dyDescent="0.35">
      <c r="A51" s="14"/>
      <c r="B51" s="14"/>
      <c r="C51" s="14"/>
      <c r="D51" s="100" t="s">
        <v>106</v>
      </c>
      <c r="E51" s="1"/>
      <c r="F51" s="14"/>
      <c r="G51" s="1"/>
      <c r="H51" s="1"/>
      <c r="I51" s="1"/>
      <c r="J51" s="1"/>
    </row>
    <row r="52" spans="1:10" x14ac:dyDescent="0.35">
      <c r="A52" s="14"/>
      <c r="B52" s="14"/>
      <c r="C52" s="14"/>
      <c r="D52" s="101" t="s">
        <v>107</v>
      </c>
      <c r="E52" s="1"/>
      <c r="F52" s="14"/>
      <c r="G52" s="1"/>
      <c r="H52" s="1"/>
      <c r="I52" s="1"/>
      <c r="J52" s="1"/>
    </row>
    <row r="53" spans="1:10" x14ac:dyDescent="0.35">
      <c r="A53" s="14"/>
      <c r="B53" s="14"/>
      <c r="C53" s="14"/>
      <c r="D53" s="101" t="s">
        <v>108</v>
      </c>
      <c r="E53" s="1"/>
      <c r="F53" s="14"/>
      <c r="G53" s="1"/>
      <c r="H53" s="1"/>
      <c r="I53" s="1"/>
      <c r="J53" s="1"/>
    </row>
    <row r="54" spans="1:10" x14ac:dyDescent="0.35">
      <c r="A54" s="14"/>
      <c r="B54" s="14"/>
      <c r="C54" s="14"/>
      <c r="D54" s="101" t="s">
        <v>106</v>
      </c>
      <c r="E54" s="1"/>
      <c r="F54" s="14"/>
      <c r="G54" s="1"/>
      <c r="H54" s="1"/>
      <c r="I54" s="1"/>
      <c r="J54" s="1"/>
    </row>
    <row r="55" spans="1:10" x14ac:dyDescent="0.35">
      <c r="A55" s="14"/>
      <c r="B55" s="14"/>
      <c r="C55" s="14"/>
      <c r="D55" s="102" t="s">
        <v>109</v>
      </c>
      <c r="E55" s="1"/>
      <c r="F55" s="14"/>
      <c r="G55" s="1"/>
      <c r="H55" s="1"/>
      <c r="I55" s="1"/>
      <c r="J55" s="1"/>
    </row>
    <row r="56" spans="1:10" x14ac:dyDescent="0.35">
      <c r="A56" s="14"/>
      <c r="B56" s="14"/>
      <c r="C56" s="14"/>
      <c r="D56" s="102" t="s">
        <v>108</v>
      </c>
      <c r="E56" s="1"/>
      <c r="F56" s="14"/>
      <c r="G56" s="1"/>
      <c r="H56" s="1"/>
      <c r="I56" s="1"/>
      <c r="J56" s="1"/>
    </row>
    <row r="57" spans="1:10" x14ac:dyDescent="0.35">
      <c r="A57" s="14"/>
      <c r="B57" s="14"/>
      <c r="C57" s="14"/>
      <c r="D57" s="102" t="s">
        <v>110</v>
      </c>
      <c r="E57" s="1"/>
      <c r="F57" s="14"/>
      <c r="G57" s="1"/>
      <c r="H57" s="1"/>
      <c r="I57" s="1"/>
      <c r="J57" s="1"/>
    </row>
    <row r="58" spans="1:10" x14ac:dyDescent="0.35">
      <c r="A58" s="14"/>
      <c r="B58" s="14"/>
      <c r="C58" s="14"/>
      <c r="D58" s="103" t="s">
        <v>111</v>
      </c>
      <c r="E58" s="1"/>
      <c r="F58" s="14"/>
      <c r="G58" s="1"/>
      <c r="H58" s="1"/>
      <c r="I58" s="1"/>
      <c r="J58" s="1"/>
    </row>
    <row r="59" spans="1:10" x14ac:dyDescent="0.35">
      <c r="A59" s="14"/>
      <c r="B59" s="14"/>
      <c r="C59" s="14"/>
      <c r="D59" s="103" t="s">
        <v>108</v>
      </c>
      <c r="E59" s="1"/>
      <c r="F59" s="15"/>
      <c r="G59" s="1"/>
      <c r="H59" s="1"/>
      <c r="I59" s="1"/>
      <c r="J59" s="1"/>
    </row>
    <row r="60" spans="1:10" x14ac:dyDescent="0.35">
      <c r="A60" s="1"/>
      <c r="B60" s="1"/>
      <c r="C60" s="1"/>
      <c r="D60" s="103" t="s">
        <v>112</v>
      </c>
      <c r="E60" s="1"/>
      <c r="F60" s="1"/>
      <c r="G60" s="1"/>
      <c r="H60" s="1"/>
      <c r="I60" s="1"/>
      <c r="J60" s="1"/>
    </row>
    <row r="61" spans="1:10" x14ac:dyDescent="0.35">
      <c r="A61" s="1"/>
      <c r="B61" s="1"/>
      <c r="C61" s="1"/>
      <c r="D61" s="104" t="s">
        <v>113</v>
      </c>
      <c r="E61" s="1"/>
      <c r="F61" s="1"/>
      <c r="G61" s="1"/>
      <c r="H61" s="1"/>
      <c r="I61" s="1"/>
      <c r="J61" s="1"/>
    </row>
    <row r="62" spans="1:10" x14ac:dyDescent="0.35">
      <c r="A62" s="1"/>
      <c r="B62" s="1"/>
      <c r="C62" s="1"/>
      <c r="D62" s="104" t="s">
        <v>108</v>
      </c>
      <c r="E62" s="1"/>
      <c r="F62" s="1"/>
      <c r="G62" s="1"/>
      <c r="H62" s="1"/>
      <c r="I62" s="1"/>
      <c r="J62" s="1"/>
    </row>
    <row r="63" spans="1:10" x14ac:dyDescent="0.35">
      <c r="A63" s="1"/>
      <c r="B63" s="1"/>
      <c r="C63" s="1"/>
      <c r="D63" s="104" t="s">
        <v>114</v>
      </c>
      <c r="E63" s="1"/>
      <c r="F63" s="1"/>
      <c r="G63" s="1"/>
      <c r="H63" s="1"/>
      <c r="I63" s="1"/>
      <c r="J63" s="1"/>
    </row>
    <row r="64" spans="1:10" x14ac:dyDescent="0.35">
      <c r="A64" s="1"/>
      <c r="B64" s="1"/>
      <c r="C64" s="1"/>
      <c r="D64" s="105" t="s">
        <v>115</v>
      </c>
      <c r="E64" s="1"/>
      <c r="F64" s="1"/>
      <c r="G64" s="1"/>
      <c r="H64" s="1"/>
      <c r="I64" s="1"/>
      <c r="J64" s="1"/>
    </row>
    <row r="65" spans="1:10" x14ac:dyDescent="0.35">
      <c r="A65" s="1"/>
      <c r="B65" s="1"/>
      <c r="C65" s="1"/>
      <c r="D65" s="106" t="s">
        <v>116</v>
      </c>
      <c r="E65" s="1"/>
      <c r="F65" s="1"/>
      <c r="G65" s="1"/>
      <c r="H65" s="1"/>
      <c r="I65" s="1"/>
      <c r="J65" s="1"/>
    </row>
    <row r="66" spans="1:10" x14ac:dyDescent="0.35">
      <c r="A66" s="1"/>
      <c r="B66" s="1"/>
      <c r="C66" s="1"/>
      <c r="D66" s="106" t="s">
        <v>117</v>
      </c>
      <c r="E66" s="1"/>
      <c r="F66" s="1"/>
      <c r="G66" s="1"/>
      <c r="H66" s="1"/>
      <c r="I66" s="1"/>
      <c r="J66" s="1"/>
    </row>
    <row r="67" spans="1:10" ht="26.5" x14ac:dyDescent="0.35">
      <c r="A67" s="1"/>
      <c r="B67" s="1"/>
      <c r="C67" s="1"/>
      <c r="D67" s="107" t="s">
        <v>118</v>
      </c>
      <c r="E67" s="1"/>
      <c r="F67" s="1"/>
      <c r="G67" s="1"/>
      <c r="H67" s="1"/>
      <c r="I67" s="1"/>
      <c r="J67" s="1"/>
    </row>
    <row r="68" spans="1:10" x14ac:dyDescent="0.35">
      <c r="A68" s="1"/>
      <c r="B68" s="1"/>
      <c r="C68" s="1"/>
      <c r="D68" s="253" t="s">
        <v>119</v>
      </c>
      <c r="E68" s="1"/>
      <c r="F68" s="1"/>
      <c r="G68" s="1"/>
      <c r="H68" s="1"/>
      <c r="I68" s="1"/>
      <c r="J68" s="1"/>
    </row>
    <row r="69" spans="1:10" x14ac:dyDescent="0.35">
      <c r="A69" s="1"/>
      <c r="B69" s="1"/>
      <c r="C69" s="1"/>
      <c r="D69" s="253"/>
      <c r="E69" s="1"/>
      <c r="F69" s="1"/>
      <c r="G69" s="1"/>
      <c r="H69" s="1"/>
      <c r="I69" s="1"/>
      <c r="J69" s="1"/>
    </row>
    <row r="70" spans="1:10" x14ac:dyDescent="0.35">
      <c r="A70" s="1"/>
      <c r="B70" s="1"/>
      <c r="C70" s="1"/>
      <c r="D70" s="1"/>
      <c r="E70" s="1"/>
      <c r="F70" s="1"/>
      <c r="G70" s="1"/>
      <c r="H70" s="1"/>
      <c r="I70" s="1"/>
      <c r="J70" s="1"/>
    </row>
    <row r="71" spans="1:10" x14ac:dyDescent="0.35">
      <c r="A71" s="1"/>
      <c r="B71" s="1"/>
      <c r="C71" s="1"/>
      <c r="D71" s="1"/>
      <c r="E71" s="1"/>
      <c r="F71" s="1"/>
      <c r="G71" s="1"/>
      <c r="H71" s="1"/>
      <c r="I71" s="1"/>
      <c r="J71" s="1"/>
    </row>
    <row r="72" spans="1:10" x14ac:dyDescent="0.35">
      <c r="A72" s="1"/>
      <c r="B72" s="1"/>
      <c r="C72" s="1"/>
      <c r="D72" s="1"/>
      <c r="E72" s="1"/>
      <c r="F72" s="1"/>
      <c r="G72" s="1"/>
      <c r="H72" s="1"/>
      <c r="I72" s="1"/>
      <c r="J72" s="1"/>
    </row>
    <row r="97" ht="14.5" customHeight="1" x14ac:dyDescent="0.35"/>
    <row r="101" ht="14.5" customHeight="1" x14ac:dyDescent="0.35"/>
    <row r="102" ht="14.5" customHeight="1" x14ac:dyDescent="0.35"/>
    <row r="103" ht="14.5" customHeight="1" x14ac:dyDescent="0.35"/>
    <row r="105" ht="14.5" customHeight="1" x14ac:dyDescent="0.35"/>
    <row r="107" ht="14.5" customHeight="1" x14ac:dyDescent="0.35"/>
  </sheetData>
  <sheetProtection algorithmName="SHA-512" hashValue="oKHpGWELSKUY1jNL1FMEJfbikftZXOWyVfH77YEw/ruKnL1uSFiM/EVO5JwvU4r8Qih+GWQni655kYS537ekXw==" saltValue="x/E7hWALdukaSSyjx5vnIw==" spinCount="100000" sheet="1" objects="1" scenarios="1"/>
  <mergeCells count="3">
    <mergeCell ref="D68:D69"/>
    <mergeCell ref="C20:D20"/>
    <mergeCell ref="A27:A30"/>
  </mergeCells>
  <hyperlinks>
    <hyperlink ref="A4" r:id="rId1" display="       Please click this link to check for updated versions of this tool on the OR BPS website before reporting. " xr:uid="{3E94A2ED-F9D5-4F3E-9222-959C360EFE6F}"/>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7AEF8-F154-433F-9D4B-03886EDB5F58}">
  <sheetPr codeName="Sheet2"/>
  <dimension ref="A1:AS70"/>
  <sheetViews>
    <sheetView tabSelected="1" zoomScaleNormal="100" workbookViewId="0"/>
  </sheetViews>
  <sheetFormatPr defaultRowHeight="14.5" x14ac:dyDescent="0.35"/>
  <cols>
    <col min="1" max="1" width="5.81640625" style="1" customWidth="1"/>
    <col min="2" max="2" width="20.54296875" style="1" customWidth="1"/>
    <col min="3" max="3" width="40.54296875" style="1" customWidth="1"/>
    <col min="4" max="6" width="19.1796875" style="2" customWidth="1"/>
    <col min="7" max="10" width="16.1796875" style="2" customWidth="1"/>
    <col min="11" max="13" width="50.54296875" style="2" customWidth="1"/>
    <col min="14" max="15" width="8.7265625" style="2"/>
    <col min="16" max="16" width="8.7265625" style="1"/>
    <col min="17" max="17" width="55.26953125" style="1" bestFit="1" customWidth="1"/>
    <col min="18" max="18" width="29.81640625" style="1" bestFit="1" customWidth="1"/>
    <col min="19" max="19" width="21" style="1" bestFit="1" customWidth="1"/>
    <col min="20" max="20" width="11.1796875" style="1" bestFit="1" customWidth="1"/>
    <col min="21" max="21" width="14.81640625" style="1" bestFit="1" customWidth="1"/>
    <col min="22" max="45" width="8.7265625" style="1"/>
  </cols>
  <sheetData>
    <row r="1" spans="1:16" ht="20.149999999999999" customHeight="1" thickBot="1" x14ac:dyDescent="0.4">
      <c r="A1" s="261" t="s">
        <v>120</v>
      </c>
      <c r="B1" s="262"/>
      <c r="C1" s="263"/>
      <c r="D1" s="221"/>
      <c r="E1" s="222"/>
      <c r="F1" s="240" t="s">
        <v>121</v>
      </c>
      <c r="G1" s="223"/>
      <c r="H1" s="223"/>
      <c r="I1" s="224"/>
      <c r="J1" s="225"/>
      <c r="K1" s="1"/>
      <c r="L1" s="4"/>
      <c r="M1" s="4"/>
      <c r="N1" s="40"/>
      <c r="O1" s="3"/>
    </row>
    <row r="2" spans="1:16" ht="30" customHeight="1" thickBot="1" x14ac:dyDescent="0.4">
      <c r="A2" s="221"/>
      <c r="B2" s="244" t="s">
        <v>122</v>
      </c>
      <c r="C2" s="245"/>
      <c r="D2" s="218"/>
      <c r="E2" s="190"/>
      <c r="F2" s="241" t="s">
        <v>123</v>
      </c>
      <c r="G2" s="238"/>
      <c r="H2" s="163"/>
      <c r="I2" s="219" t="s">
        <v>124</v>
      </c>
      <c r="J2" s="220"/>
      <c r="K2" s="1"/>
      <c r="L2" s="4"/>
      <c r="M2" s="4"/>
      <c r="N2" s="40"/>
      <c r="O2" s="3"/>
    </row>
    <row r="3" spans="1:16" ht="20.149999999999999" customHeight="1" x14ac:dyDescent="0.35">
      <c r="A3" s="247"/>
      <c r="B3" s="248" t="str">
        <f>IF(C2="Single Building","UBID:","All UBIDs:")</f>
        <v>All UBIDs:</v>
      </c>
      <c r="C3" s="249"/>
      <c r="D3" s="203"/>
      <c r="E3" s="164" t="str">
        <f>IF(C2="Single Building","BUILDING EUI TARGET","GROUP EUI TARGET")</f>
        <v>GROUP EUI TARGET</v>
      </c>
      <c r="F3" s="242"/>
      <c r="G3" s="239" t="str">
        <f>IF(C2="Single Building","TIER / SIZE CATEGORY / COMPLIANCE DATE","MAX TIER / SIZE CATEGORY / COMPLIANCE DATE")</f>
        <v>MAX TIER / SIZE CATEGORY / COMPLIANCE DATE</v>
      </c>
      <c r="H3" s="204"/>
      <c r="I3" s="204"/>
      <c r="J3" s="165"/>
      <c r="L3" s="109"/>
      <c r="N3" s="40"/>
      <c r="O3" s="3"/>
    </row>
    <row r="4" spans="1:16" ht="20.149999999999999" customHeight="1" thickBot="1" x14ac:dyDescent="0.4">
      <c r="A4" s="250"/>
      <c r="B4" s="251"/>
      <c r="C4" s="252"/>
      <c r="D4" s="205"/>
      <c r="E4" s="206" t="str" cm="1">
        <f t="array" ref="E4">IF(K4="Error","Fix Errors",IFERROR(IF(K5&gt;=0.5,"Nontarget",ROUND(SUMPRODUCT(IF($I$10:$I$70&gt;0,1,0),$I$10:$I$70,$D$10:$D$70,$F$10:$F$70)/SUMPRODUCT(IF($I$10:$I$70&gt;0,1,0),$D$10:$D$70,$F$10:$F$70),0)),""))</f>
        <v/>
      </c>
      <c r="F4" s="243"/>
      <c r="G4" s="207" t="str">
        <f>Lookups!AM3&amp;"  /  "&amp;Lookups!AN3&amp;"  /  "&amp;TEXT(Lookups!AO3,"mmmm d, yyyy")</f>
        <v>N/A  /  --  /  --</v>
      </c>
      <c r="H4" s="208"/>
      <c r="I4" s="208"/>
      <c r="J4" s="209"/>
      <c r="K4" s="149" t="str">
        <f>IF(OR($C$8&lt;&gt;$K$8,LEFT($G$6,3)="Not",AND(LEFT($G$4,6)="Tier 1",$J$1="QEM"),AND($G$2="No",$J$2="No"),SUM($O$10:$O$70)&gt;0),"Error","")</f>
        <v/>
      </c>
      <c r="L4" s="109"/>
      <c r="N4" s="40"/>
      <c r="O4" s="3"/>
    </row>
    <row r="5" spans="1:16" ht="20.149999999999999" customHeight="1" x14ac:dyDescent="0.35">
      <c r="A5" s="161"/>
      <c r="B5" s="226" t="str">
        <f>IF(C2="Single Building","Building Address:","Address of Largest Building:")</f>
        <v>Address of Largest Building:</v>
      </c>
      <c r="C5" s="246"/>
      <c r="D5" s="210" t="str">
        <f>IFERROR("Nontarget Area = "&amp;TEXT(K5,"0%"),"")</f>
        <v>Nontarget Area = 0%</v>
      </c>
      <c r="E5" s="211" t="s">
        <v>569</v>
      </c>
      <c r="F5" s="234" t="s">
        <v>565</v>
      </c>
      <c r="G5" s="212" t="str">
        <f>IF(C2="Single Building",L5,M5)</f>
        <v>No nontarget buildings</v>
      </c>
      <c r="H5" s="213"/>
      <c r="I5" s="213"/>
      <c r="J5" s="214"/>
      <c r="K5" s="146">
        <f>IFERROR(SUMIFS($N$10:$N$70,$C$10:$C$70,"*NONTARGET*")/$C$8/12,0)</f>
        <v>0</v>
      </c>
      <c r="L5" s="5" t="str">
        <f>IF(K5=0,"No nontarget areas",IF(K5&gt;=0.5,"Nontarget area &gt;= 50%, nontarget building proceeds as though EUI &gt; EUIt",IF(F5="Yes",IF(K5&lt;0.1,"Nontarget area &lt; 10% that's metered separately can be excluded from EUI","Nontarget areas that are metered separately must report EUI separately"),"Nontarget areas not metered separately, entire building must meet target area EUIt")))</f>
        <v>No nontarget areas</v>
      </c>
      <c r="M5" s="5" t="str">
        <f>IF(K5=0,"No nontarget buildings",IF(K5&gt;=0.5,"Nontarget area &gt;= 50%, nontarget group proceeds as though EUI &gt; EUIt",IF(F5="Yes",IF(K5&lt;0.1,"Nontarget area of &lt; 10% that's metered separately can be excluded from EUI","Nontarget buildings that are metered separately must report EUI separately"),"Nontarget buildings not metered separately, entire group must meet target area EUIt")))</f>
        <v>No nontarget buildings</v>
      </c>
      <c r="N5" s="40"/>
      <c r="O5" s="3"/>
    </row>
    <row r="6" spans="1:16" ht="20.149999999999999" customHeight="1" x14ac:dyDescent="0.35">
      <c r="A6" s="162"/>
      <c r="B6" s="227" t="s">
        <v>125</v>
      </c>
      <c r="C6" s="229"/>
      <c r="D6" s="215"/>
      <c r="E6" s="194" t="s">
        <v>570</v>
      </c>
      <c r="F6" s="235">
        <v>90</v>
      </c>
      <c r="G6" s="232" t="str">
        <f>IF($K$6&gt;0,IF($F$6&gt;=75,"Qualified data center","Error - unqualified data center, use type 102 or 107"),"")</f>
        <v/>
      </c>
      <c r="H6" s="197"/>
      <c r="I6" s="197"/>
      <c r="J6" s="198"/>
      <c r="K6" s="146">
        <f>IFERROR(SUMIFS($N$10:$N$70,$C$10:$C$70,"*DATA*")/$C$8/12,0)</f>
        <v>0</v>
      </c>
      <c r="N6" s="40"/>
      <c r="O6" s="3"/>
    </row>
    <row r="7" spans="1:16" ht="20.149999999999999" customHeight="1" x14ac:dyDescent="0.35">
      <c r="A7" s="162"/>
      <c r="B7" s="227" t="s">
        <v>126</v>
      </c>
      <c r="C7" s="230" t="str">
        <f>IFERROR(VLOOKUP($C$6,Lookups!$AE$3:$AF$38,2,FALSE),"Enter County")</f>
        <v>Enter County</v>
      </c>
      <c r="D7" s="216"/>
      <c r="E7" s="196" t="str">
        <f>"Vacant Area = "&amp;TEXT(K7,"0%")</f>
        <v>Vacant Area = 0%</v>
      </c>
      <c r="F7" s="236"/>
      <c r="G7" s="233" t="str">
        <f>IF(C2="Single Building",L7,M7)</f>
        <v>No vacant buildings</v>
      </c>
      <c r="H7" s="166"/>
      <c r="I7" s="166"/>
      <c r="J7" s="167"/>
      <c r="K7" s="147">
        <f>IFERROR(SUMIFS($N$10:$N$70,$C$10:$C$70,"*Vacant*")/$C$8/12,0)</f>
        <v>0</v>
      </c>
      <c r="L7" s="5" t="str">
        <f>IF(K7=0,"No vacant areas",IF(K7&gt;=0.5,"Vacant area &gt;= 50%, building may apply for exemption","Vacant area excluded from EUIt"))</f>
        <v>No vacant areas</v>
      </c>
      <c r="M7" s="5" t="str">
        <f>IF(K7=0,"No vacant buildings",IF(K7&gt;=0.5,"Vacant area &gt;= 50%, group may apply for exemption","Vacant area excluded from EUIt"))</f>
        <v>No vacant buildings</v>
      </c>
      <c r="N7" s="40"/>
      <c r="O7" s="3"/>
    </row>
    <row r="8" spans="1:16" ht="20.149999999999999" customHeight="1" thickBot="1" x14ac:dyDescent="0.4">
      <c r="A8" s="202"/>
      <c r="B8" s="228" t="str">
        <f>IF(C2="Single Building","Building GFA, SF:","Group GFA, SF:")</f>
        <v>Group GFA, SF:</v>
      </c>
      <c r="C8" s="231"/>
      <c r="D8" s="217"/>
      <c r="E8" s="195" t="str">
        <f>"GFA Check = "&amp;TEXT(K8,"#,##0")&amp;" SF"</f>
        <v>GFA Check = 0 SF</v>
      </c>
      <c r="F8" s="237"/>
      <c r="G8" s="199" t="str">
        <f>IF(C8&lt;&gt;K8,"Error - check GFA and months per year","OK")</f>
        <v>OK</v>
      </c>
      <c r="H8" s="200"/>
      <c r="I8" s="200"/>
      <c r="J8" s="201"/>
      <c r="K8" s="6">
        <f>SUM(Lookups!$AI$7:$AI$8)</f>
        <v>0</v>
      </c>
      <c r="N8" s="40"/>
      <c r="O8" s="3"/>
    </row>
    <row r="9" spans="1:16" ht="29.5" thickBot="1" x14ac:dyDescent="0.4">
      <c r="A9" s="7" t="s">
        <v>64</v>
      </c>
      <c r="B9" s="8" t="str">
        <f>IF(C2="Single Building","Area Name","Building Name")</f>
        <v>Building Name</v>
      </c>
      <c r="C9" s="9" t="s">
        <v>127</v>
      </c>
      <c r="D9" s="9" t="s">
        <v>564</v>
      </c>
      <c r="E9" s="9" t="s">
        <v>128</v>
      </c>
      <c r="F9" s="115" t="s">
        <v>129</v>
      </c>
      <c r="G9" s="119" t="s">
        <v>130</v>
      </c>
      <c r="H9" s="10" t="s">
        <v>70</v>
      </c>
      <c r="I9" s="114" t="str">
        <f>IF(C2="Single Building","Area EUIt","Building EUIt")</f>
        <v>Building EUIt</v>
      </c>
      <c r="J9" s="120" t="s">
        <v>131</v>
      </c>
      <c r="K9" s="116" t="s">
        <v>132</v>
      </c>
      <c r="L9" s="10" t="s">
        <v>133</v>
      </c>
      <c r="M9" s="11" t="s">
        <v>134</v>
      </c>
      <c r="N9" s="3"/>
    </row>
    <row r="10" spans="1:16" ht="16" x14ac:dyDescent="0.35">
      <c r="A10" s="191">
        <v>1</v>
      </c>
      <c r="B10" s="136"/>
      <c r="C10" s="139"/>
      <c r="D10" s="173"/>
      <c r="E10" s="174"/>
      <c r="F10" s="175"/>
      <c r="G10" s="182" t="str">
        <f>IFERROR(IF($C$7="4C",VLOOKUP('EUIt Sheet'!$C10,Lookups!$A$3:$W$116,6,FALSE),IF($C$7="5B",VLOOKUP('EUIt Sheet'!$C10,Lookups!$A$3:$W$116,7,FALSE),"")),"")</f>
        <v/>
      </c>
      <c r="H10" s="183" t="str">
        <f>IFERROR(IF(AND($E10&lt;=0,D10&gt;0),"enter hours",IF($E10&lt;=50,VLOOKUP('EUIt Sheet'!$C10,Lookups!$A$3:$W$116,8,FALSE),IF($E10&lt;=167,VLOOKUP('EUIt Sheet'!$C10,Lookups!$A$3:$W$116,9,FALSE),IF($E10=168,VLOOKUP('EUIt Sheet'!$C10,Lookups!$A$3:$W$116,10,FALSE),"")))),"")</f>
        <v/>
      </c>
      <c r="I10" s="184" t="str">
        <f t="shared" ref="I10:I70" si="0">IFERROR(ROUND($G10*$H10,0),"")</f>
        <v/>
      </c>
      <c r="J10" s="171" t="str">
        <f>IF($B10&lt;&gt;"",IF($C$2="Single Building",LEFT($G$4,7),Lookups!$AK10),"")</f>
        <v/>
      </c>
      <c r="K10" s="117" t="str">
        <f>IFERROR(VLOOKUP('EUIt Sheet'!$C10,Lookups!$A$3:$T$116,11,FALSE),"")</f>
        <v/>
      </c>
      <c r="L10" s="12" t="str">
        <f>IFERROR(VLOOKUP('EUIt Sheet'!$C10,Lookups!$A$3:$T$116,12,FALSE),"")</f>
        <v/>
      </c>
      <c r="M10" s="12" t="str">
        <f>IFERROR(VLOOKUP('EUIt Sheet'!$C10,Lookups!$A$3:$T$116,13,FALSE),"")</f>
        <v/>
      </c>
      <c r="N10" s="148">
        <f>$D10*$F10</f>
        <v>0</v>
      </c>
      <c r="O10" s="3">
        <f>IF($H10="enter hours",1,0)</f>
        <v>0</v>
      </c>
      <c r="P10" s="145"/>
    </row>
    <row r="11" spans="1:16" ht="16" x14ac:dyDescent="0.35">
      <c r="A11" s="192" t="str">
        <f>IF(ISBLANK(B11),"",IF(B11=B10,A10,A10+1))</f>
        <v/>
      </c>
      <c r="B11" s="137"/>
      <c r="C11" s="140"/>
      <c r="D11" s="176"/>
      <c r="E11" s="177"/>
      <c r="F11" s="178"/>
      <c r="G11" s="185" t="str">
        <f>IFERROR(IF($C$7="4C",VLOOKUP('EUIt Sheet'!$C11,Lookups!$A$3:$W$116,6,FALSE),IF($C$7="5B",VLOOKUP('EUIt Sheet'!$C11,Lookups!$A$3:$W$116,7,FALSE),"")),"")</f>
        <v/>
      </c>
      <c r="H11" s="183" t="str">
        <f>IFERROR(IF(AND($E11&lt;=0,D11&gt;0),"enter hours",IF($E11&lt;=50,VLOOKUP('EUIt Sheet'!$C11,Lookups!$A$3:$W$116,8,FALSE),IF($E11&lt;=167,VLOOKUP('EUIt Sheet'!$C11,Lookups!$A$3:$W$116,9,FALSE),IF($E11=168,VLOOKUP('EUIt Sheet'!$C11,Lookups!$A$3:$W$116,10,FALSE),"")))),"")</f>
        <v/>
      </c>
      <c r="I11" s="186" t="str">
        <f t="shared" si="0"/>
        <v/>
      </c>
      <c r="J11" s="171" t="str">
        <f>IF($B11&lt;&gt;"",IF($C$2="Single Building",LEFT($G$4,7),Lookups!$AK11),"")</f>
        <v/>
      </c>
      <c r="K11" s="118" t="str">
        <f>IFERROR(VLOOKUP('EUIt Sheet'!$C11,Lookups!$A$3:$T$116,11,FALSE),"")</f>
        <v/>
      </c>
      <c r="L11" s="13" t="str">
        <f>IFERROR(VLOOKUP('EUIt Sheet'!$C11,Lookups!$A$3:$T$116,12,FALSE),"")</f>
        <v/>
      </c>
      <c r="M11" s="13" t="str">
        <f>IFERROR(VLOOKUP('EUIt Sheet'!$C11,Lookups!$A$3:$T$116,13,FALSE),"")</f>
        <v/>
      </c>
      <c r="N11" s="148">
        <f t="shared" ref="N11:N70" si="1">$D11*$F11</f>
        <v>0</v>
      </c>
      <c r="O11" s="3">
        <f t="shared" ref="O11:O70" si="2">IF($H11="enter hours",1,0)</f>
        <v>0</v>
      </c>
      <c r="P11" s="145"/>
    </row>
    <row r="12" spans="1:16" ht="16" x14ac:dyDescent="0.35">
      <c r="A12" s="192" t="str">
        <f>IF(ISBLANK(B12),"",IF(B12=B11,A11,A11+1))</f>
        <v/>
      </c>
      <c r="B12" s="137"/>
      <c r="C12" s="140"/>
      <c r="D12" s="176"/>
      <c r="E12" s="177"/>
      <c r="F12" s="178"/>
      <c r="G12" s="185" t="str">
        <f>IFERROR(IF($C$7="4C",VLOOKUP('EUIt Sheet'!$C12,Lookups!$A$3:$W$116,6,FALSE),IF($C$7="5B",VLOOKUP('EUIt Sheet'!$C12,Lookups!$A$3:$W$116,7,FALSE),"")),"")</f>
        <v/>
      </c>
      <c r="H12" s="183" t="str">
        <f>IFERROR(IF(AND($E12&lt;=0,D12&gt;0),"enter hours",IF($E12&lt;=50,VLOOKUP('EUIt Sheet'!$C12,Lookups!$A$3:$W$116,8,FALSE),IF($E12&lt;=167,VLOOKUP('EUIt Sheet'!$C12,Lookups!$A$3:$W$116,9,FALSE),IF($E12=168,VLOOKUP('EUIt Sheet'!$C12,Lookups!$A$3:$W$116,10,FALSE),"")))),"")</f>
        <v/>
      </c>
      <c r="I12" s="186" t="str">
        <f t="shared" si="0"/>
        <v/>
      </c>
      <c r="J12" s="171" t="str">
        <f>IF($B12&lt;&gt;"",IF($C$2="Single Building",LEFT($G$4,7),Lookups!$AK12),"")</f>
        <v/>
      </c>
      <c r="K12" s="118" t="str">
        <f>IFERROR(VLOOKUP('EUIt Sheet'!$C12,Lookups!$A$3:$T$116,11,FALSE),"")</f>
        <v/>
      </c>
      <c r="L12" s="13" t="str">
        <f>IFERROR(VLOOKUP('EUIt Sheet'!$C12,Lookups!$A$3:$T$116,12,FALSE),"")</f>
        <v/>
      </c>
      <c r="M12" s="13" t="str">
        <f>IFERROR(VLOOKUP('EUIt Sheet'!$C12,Lookups!$A$3:$T$116,13,FALSE),"")</f>
        <v/>
      </c>
      <c r="N12" s="148">
        <f t="shared" si="1"/>
        <v>0</v>
      </c>
      <c r="O12" s="3">
        <f t="shared" si="2"/>
        <v>0</v>
      </c>
      <c r="P12" s="145"/>
    </row>
    <row r="13" spans="1:16" ht="16" x14ac:dyDescent="0.35">
      <c r="A13" s="192" t="str">
        <f>IF(ISBLANK(B13),"",IF(B13=B12,A12,A12+1))</f>
        <v/>
      </c>
      <c r="B13" s="137"/>
      <c r="C13" s="140"/>
      <c r="D13" s="176"/>
      <c r="E13" s="177"/>
      <c r="F13" s="178"/>
      <c r="G13" s="185" t="str">
        <f>IFERROR(IF($C$7="4C",VLOOKUP('EUIt Sheet'!$C13,Lookups!$A$3:$W$116,6,FALSE),IF($C$7="5B",VLOOKUP('EUIt Sheet'!$C13,Lookups!$A$3:$W$116,7,FALSE),"")),"")</f>
        <v/>
      </c>
      <c r="H13" s="183" t="str">
        <f>IFERROR(IF(AND($E13&lt;=0,D13&gt;0),"enter hours",IF($E13&lt;=50,VLOOKUP('EUIt Sheet'!$C13,Lookups!$A$3:$W$116,8,FALSE),IF($E13&lt;=167,VLOOKUP('EUIt Sheet'!$C13,Lookups!$A$3:$W$116,9,FALSE),IF($E13=168,VLOOKUP('EUIt Sheet'!$C13,Lookups!$A$3:$W$116,10,FALSE),"")))),"")</f>
        <v/>
      </c>
      <c r="I13" s="186" t="str">
        <f t="shared" si="0"/>
        <v/>
      </c>
      <c r="J13" s="171" t="str">
        <f>IF($B13&lt;&gt;"",IF($C$2="Single Building",LEFT($G$4,7),Lookups!$AK13),"")</f>
        <v/>
      </c>
      <c r="K13" s="118" t="str">
        <f>IFERROR(VLOOKUP('EUIt Sheet'!$C13,Lookups!$A$3:$T$116,11,FALSE),"")</f>
        <v/>
      </c>
      <c r="L13" s="13" t="str">
        <f>IFERROR(VLOOKUP('EUIt Sheet'!$C13,Lookups!$A$3:$T$116,12,FALSE),"")</f>
        <v/>
      </c>
      <c r="M13" s="13" t="str">
        <f>IFERROR(VLOOKUP('EUIt Sheet'!$C13,Lookups!$A$3:$T$116,13,FALSE),"")</f>
        <v/>
      </c>
      <c r="N13" s="148">
        <f t="shared" si="1"/>
        <v>0</v>
      </c>
      <c r="O13" s="3">
        <f t="shared" si="2"/>
        <v>0</v>
      </c>
      <c r="P13" s="145"/>
    </row>
    <row r="14" spans="1:16" ht="16" x14ac:dyDescent="0.35">
      <c r="A14" s="192" t="str">
        <f t="shared" ref="A14:A50" si="3">IF(ISBLANK(B14),"",IF(B14=B13,A13,A13+1))</f>
        <v/>
      </c>
      <c r="B14" s="137"/>
      <c r="C14" s="140"/>
      <c r="D14" s="176"/>
      <c r="E14" s="177"/>
      <c r="F14" s="178"/>
      <c r="G14" s="185" t="str">
        <f>IFERROR(IF($C$7="4C",VLOOKUP('EUIt Sheet'!$C14,Lookups!$A$3:$W$116,6,FALSE),IF($C$7="5B",VLOOKUP('EUIt Sheet'!$C14,Lookups!$A$3:$W$116,7,FALSE),"")),"")</f>
        <v/>
      </c>
      <c r="H14" s="183" t="str">
        <f>IFERROR(IF(AND($E14&lt;=0,D14&gt;0),"enter hours",IF($E14&lt;=50,VLOOKUP('EUIt Sheet'!$C14,Lookups!$A$3:$W$116,8,FALSE),IF($E14&lt;=167,VLOOKUP('EUIt Sheet'!$C14,Lookups!$A$3:$W$116,9,FALSE),IF($E14=168,VLOOKUP('EUIt Sheet'!$C14,Lookups!$A$3:$W$116,10,FALSE),"")))),"")</f>
        <v/>
      </c>
      <c r="I14" s="186" t="str">
        <f t="shared" si="0"/>
        <v/>
      </c>
      <c r="J14" s="171" t="str">
        <f>IF($B14&lt;&gt;"",IF($C$2="Single Building",LEFT($G$4,7),Lookups!$AK14),"")</f>
        <v/>
      </c>
      <c r="K14" s="118" t="str">
        <f>IFERROR(VLOOKUP('EUIt Sheet'!$C14,Lookups!$A$3:$T$116,11,FALSE),"")</f>
        <v/>
      </c>
      <c r="L14" s="13" t="str">
        <f>IFERROR(VLOOKUP('EUIt Sheet'!$C14,Lookups!$A$3:$T$116,12,FALSE),"")</f>
        <v/>
      </c>
      <c r="M14" s="13" t="str">
        <f>IFERROR(VLOOKUP('EUIt Sheet'!$C14,Lookups!$A$3:$T$116,13,FALSE),"")</f>
        <v/>
      </c>
      <c r="N14" s="148">
        <f t="shared" si="1"/>
        <v>0</v>
      </c>
      <c r="O14" s="3">
        <f t="shared" si="2"/>
        <v>0</v>
      </c>
      <c r="P14" s="145"/>
    </row>
    <row r="15" spans="1:16" ht="16" x14ac:dyDescent="0.35">
      <c r="A15" s="192" t="str">
        <f t="shared" si="3"/>
        <v/>
      </c>
      <c r="B15" s="137"/>
      <c r="C15" s="140"/>
      <c r="D15" s="176"/>
      <c r="E15" s="177"/>
      <c r="F15" s="178"/>
      <c r="G15" s="185" t="str">
        <f>IFERROR(IF($C$7="4C",VLOOKUP('EUIt Sheet'!$C15,Lookups!$A$3:$W$116,6,FALSE),IF($C$7="5B",VLOOKUP('EUIt Sheet'!$C15,Lookups!$A$3:$W$116,7,FALSE),"")),"")</f>
        <v/>
      </c>
      <c r="H15" s="183" t="str">
        <f>IFERROR(IF(AND($E15&lt;=0,D15&gt;0),"enter hours",IF($E15&lt;=50,VLOOKUP('EUIt Sheet'!$C15,Lookups!$A$3:$W$116,8,FALSE),IF($E15&lt;=167,VLOOKUP('EUIt Sheet'!$C15,Lookups!$A$3:$W$116,9,FALSE),IF($E15=168,VLOOKUP('EUIt Sheet'!$C15,Lookups!$A$3:$W$116,10,FALSE),"")))),"")</f>
        <v/>
      </c>
      <c r="I15" s="186" t="str">
        <f t="shared" si="0"/>
        <v/>
      </c>
      <c r="J15" s="171" t="str">
        <f>IF($B15&lt;&gt;"",IF($C$2="Single Building",LEFT($G$4,7),Lookups!$AK15),"")</f>
        <v/>
      </c>
      <c r="K15" s="118" t="str">
        <f>IFERROR(VLOOKUP('EUIt Sheet'!$C15,Lookups!$A$3:$T$116,11,FALSE),"")</f>
        <v/>
      </c>
      <c r="L15" s="13" t="str">
        <f>IFERROR(VLOOKUP('EUIt Sheet'!$C15,Lookups!$A$3:$T$116,12,FALSE),"")</f>
        <v/>
      </c>
      <c r="M15" s="13" t="str">
        <f>IFERROR(VLOOKUP('EUIt Sheet'!$C15,Lookups!$A$3:$T$116,13,FALSE),"")</f>
        <v/>
      </c>
      <c r="N15" s="148">
        <f t="shared" si="1"/>
        <v>0</v>
      </c>
      <c r="O15" s="3">
        <f t="shared" si="2"/>
        <v>0</v>
      </c>
      <c r="P15" s="145"/>
    </row>
    <row r="16" spans="1:16" ht="16" x14ac:dyDescent="0.35">
      <c r="A16" s="192" t="str">
        <f t="shared" si="3"/>
        <v/>
      </c>
      <c r="B16" s="137"/>
      <c r="C16" s="140"/>
      <c r="D16" s="176"/>
      <c r="E16" s="177"/>
      <c r="F16" s="178"/>
      <c r="G16" s="185" t="str">
        <f>IFERROR(IF($C$7="4C",VLOOKUP('EUIt Sheet'!$C16,Lookups!$A$3:$W$116,6,FALSE),IF($C$7="5B",VLOOKUP('EUIt Sheet'!$C16,Lookups!$A$3:$W$116,7,FALSE),"")),"")</f>
        <v/>
      </c>
      <c r="H16" s="183" t="str">
        <f>IFERROR(IF(AND($E16&lt;=0,D16&gt;0),"enter hours",IF($E16&lt;=50,VLOOKUP('EUIt Sheet'!$C16,Lookups!$A$3:$W$116,8,FALSE),IF($E16&lt;=167,VLOOKUP('EUIt Sheet'!$C16,Lookups!$A$3:$W$116,9,FALSE),IF($E16=168,VLOOKUP('EUIt Sheet'!$C16,Lookups!$A$3:$W$116,10,FALSE),"")))),"")</f>
        <v/>
      </c>
      <c r="I16" s="186" t="str">
        <f t="shared" si="0"/>
        <v/>
      </c>
      <c r="J16" s="171" t="str">
        <f>IF($B16&lt;&gt;"",IF($C$2="Single Building",LEFT($G$4,7),Lookups!$AK16),"")</f>
        <v/>
      </c>
      <c r="K16" s="118" t="str">
        <f>IFERROR(VLOOKUP('EUIt Sheet'!$C16,Lookups!$A$3:$T$116,11,FALSE),"")</f>
        <v/>
      </c>
      <c r="L16" s="13" t="str">
        <f>IFERROR(VLOOKUP('EUIt Sheet'!$C16,Lookups!$A$3:$T$116,12,FALSE),"")</f>
        <v/>
      </c>
      <c r="M16" s="13" t="str">
        <f>IFERROR(VLOOKUP('EUIt Sheet'!$C16,Lookups!$A$3:$T$116,13,FALSE),"")</f>
        <v/>
      </c>
      <c r="N16" s="148">
        <f t="shared" si="1"/>
        <v>0</v>
      </c>
      <c r="O16" s="3">
        <f t="shared" si="2"/>
        <v>0</v>
      </c>
      <c r="P16" s="145"/>
    </row>
    <row r="17" spans="1:16" ht="16" x14ac:dyDescent="0.35">
      <c r="A17" s="192" t="str">
        <f t="shared" si="3"/>
        <v/>
      </c>
      <c r="B17" s="137"/>
      <c r="C17" s="140"/>
      <c r="D17" s="176"/>
      <c r="E17" s="177"/>
      <c r="F17" s="178"/>
      <c r="G17" s="185" t="str">
        <f>IFERROR(IF($C$7="4C",VLOOKUP('EUIt Sheet'!$C17,Lookups!$A$3:$W$116,6,FALSE),IF($C$7="5B",VLOOKUP('EUIt Sheet'!$C17,Lookups!$A$3:$W$116,7,FALSE),"")),"")</f>
        <v/>
      </c>
      <c r="H17" s="183" t="str">
        <f>IFERROR(IF(AND($E17&lt;=0,D17&gt;0),"enter hours",IF($E17&lt;=50,VLOOKUP('EUIt Sheet'!$C17,Lookups!$A$3:$W$116,8,FALSE),IF($E17&lt;=167,VLOOKUP('EUIt Sheet'!$C17,Lookups!$A$3:$W$116,9,FALSE),IF($E17=168,VLOOKUP('EUIt Sheet'!$C17,Lookups!$A$3:$W$116,10,FALSE),"")))),"")</f>
        <v/>
      </c>
      <c r="I17" s="186" t="str">
        <f t="shared" si="0"/>
        <v/>
      </c>
      <c r="J17" s="171" t="str">
        <f>IF($B17&lt;&gt;"",IF($C$2="Single Building",LEFT($G$4,7),Lookups!$AK17),"")</f>
        <v/>
      </c>
      <c r="K17" s="118" t="str">
        <f>IFERROR(VLOOKUP('EUIt Sheet'!$C17,Lookups!$A$3:$T$116,11,FALSE),"")</f>
        <v/>
      </c>
      <c r="L17" s="13" t="str">
        <f>IFERROR(VLOOKUP('EUIt Sheet'!$C17,Lookups!$A$3:$T$116,12,FALSE),"")</f>
        <v/>
      </c>
      <c r="M17" s="13" t="str">
        <f>IFERROR(VLOOKUP('EUIt Sheet'!$C17,Lookups!$A$3:$T$116,13,FALSE),"")</f>
        <v/>
      </c>
      <c r="N17" s="148">
        <f t="shared" si="1"/>
        <v>0</v>
      </c>
      <c r="O17" s="3">
        <f t="shared" si="2"/>
        <v>0</v>
      </c>
      <c r="P17" s="145"/>
    </row>
    <row r="18" spans="1:16" ht="16" x14ac:dyDescent="0.35">
      <c r="A18" s="192" t="str">
        <f t="shared" si="3"/>
        <v/>
      </c>
      <c r="B18" s="137"/>
      <c r="C18" s="140"/>
      <c r="D18" s="176"/>
      <c r="E18" s="177"/>
      <c r="F18" s="178"/>
      <c r="G18" s="185" t="str">
        <f>IFERROR(IF($C$7="4C",VLOOKUP('EUIt Sheet'!$C18,Lookups!$A$3:$W$116,6,FALSE),IF($C$7="5B",VLOOKUP('EUIt Sheet'!$C18,Lookups!$A$3:$W$116,7,FALSE),"")),"")</f>
        <v/>
      </c>
      <c r="H18" s="183" t="str">
        <f>IFERROR(IF(AND($E18&lt;=0,D18&gt;0),"enter hours",IF($E18&lt;=50,VLOOKUP('EUIt Sheet'!$C18,Lookups!$A$3:$W$116,8,FALSE),IF($E18&lt;=167,VLOOKUP('EUIt Sheet'!$C18,Lookups!$A$3:$W$116,9,FALSE),IF($E18=168,VLOOKUP('EUIt Sheet'!$C18,Lookups!$A$3:$W$116,10,FALSE),"")))),"")</f>
        <v/>
      </c>
      <c r="I18" s="186" t="str">
        <f t="shared" si="0"/>
        <v/>
      </c>
      <c r="J18" s="171" t="str">
        <f>IF($B18&lt;&gt;"",IF($C$2="Single Building",LEFT($G$4,7),Lookups!$AK18),"")</f>
        <v/>
      </c>
      <c r="K18" s="118" t="str">
        <f>IFERROR(VLOOKUP('EUIt Sheet'!$C18,Lookups!$A$3:$T$116,11,FALSE),"")</f>
        <v/>
      </c>
      <c r="L18" s="13" t="str">
        <f>IFERROR(VLOOKUP('EUIt Sheet'!$C18,Lookups!$A$3:$T$116,12,FALSE),"")</f>
        <v/>
      </c>
      <c r="M18" s="13" t="str">
        <f>IFERROR(VLOOKUP('EUIt Sheet'!$C18,Lookups!$A$3:$T$116,13,FALSE),"")</f>
        <v/>
      </c>
      <c r="N18" s="148">
        <f t="shared" si="1"/>
        <v>0</v>
      </c>
      <c r="O18" s="3">
        <f t="shared" si="2"/>
        <v>0</v>
      </c>
      <c r="P18" s="145"/>
    </row>
    <row r="19" spans="1:16" ht="16" x14ac:dyDescent="0.35">
      <c r="A19" s="192" t="str">
        <f t="shared" si="3"/>
        <v/>
      </c>
      <c r="B19" s="137"/>
      <c r="C19" s="140"/>
      <c r="D19" s="176"/>
      <c r="E19" s="177"/>
      <c r="F19" s="178"/>
      <c r="G19" s="185" t="str">
        <f>IFERROR(IF($C$7="4C",VLOOKUP('EUIt Sheet'!$C19,Lookups!$A$3:$W$116,6,FALSE),IF($C$7="5B",VLOOKUP('EUIt Sheet'!$C19,Lookups!$A$3:$W$116,7,FALSE),"")),"")</f>
        <v/>
      </c>
      <c r="H19" s="183" t="str">
        <f>IFERROR(IF(AND($E19&lt;=0,D19&gt;0),"enter hours",IF($E19&lt;=50,VLOOKUP('EUIt Sheet'!$C19,Lookups!$A$3:$W$116,8,FALSE),IF($E19&lt;=167,VLOOKUP('EUIt Sheet'!$C19,Lookups!$A$3:$W$116,9,FALSE),IF($E19=168,VLOOKUP('EUIt Sheet'!$C19,Lookups!$A$3:$W$116,10,FALSE),"")))),"")</f>
        <v/>
      </c>
      <c r="I19" s="186" t="str">
        <f t="shared" si="0"/>
        <v/>
      </c>
      <c r="J19" s="171" t="str">
        <f>IF($B19&lt;&gt;"",IF($C$2="Single Building",LEFT($G$4,7),Lookups!$AK19),"")</f>
        <v/>
      </c>
      <c r="K19" s="118" t="str">
        <f>IFERROR(VLOOKUP('EUIt Sheet'!$C19,Lookups!$A$3:$T$116,11,FALSE),"")</f>
        <v/>
      </c>
      <c r="L19" s="13" t="str">
        <f>IFERROR(VLOOKUP('EUIt Sheet'!$C19,Lookups!$A$3:$T$116,12,FALSE),"")</f>
        <v/>
      </c>
      <c r="M19" s="13" t="str">
        <f>IFERROR(VLOOKUP('EUIt Sheet'!$C19,Lookups!$A$3:$T$116,13,FALSE),"")</f>
        <v/>
      </c>
      <c r="N19" s="148">
        <f t="shared" si="1"/>
        <v>0</v>
      </c>
      <c r="O19" s="3">
        <f t="shared" si="2"/>
        <v>0</v>
      </c>
      <c r="P19" s="145"/>
    </row>
    <row r="20" spans="1:16" ht="16" x14ac:dyDescent="0.35">
      <c r="A20" s="192" t="str">
        <f t="shared" si="3"/>
        <v/>
      </c>
      <c r="B20" s="137"/>
      <c r="C20" s="140"/>
      <c r="D20" s="176"/>
      <c r="E20" s="177"/>
      <c r="F20" s="178"/>
      <c r="G20" s="185" t="str">
        <f>IFERROR(IF($C$7="4C",VLOOKUP('EUIt Sheet'!$C20,Lookups!$A$3:$W$116,6,FALSE),IF($C$7="5B",VLOOKUP('EUIt Sheet'!$C20,Lookups!$A$3:$W$116,7,FALSE),"")),"")</f>
        <v/>
      </c>
      <c r="H20" s="183" t="str">
        <f>IFERROR(IF(AND($E20&lt;=0,D20&gt;0),"enter hours",IF($E20&lt;=50,VLOOKUP('EUIt Sheet'!$C20,Lookups!$A$3:$W$116,8,FALSE),IF($E20&lt;=167,VLOOKUP('EUIt Sheet'!$C20,Lookups!$A$3:$W$116,9,FALSE),IF($E20=168,VLOOKUP('EUIt Sheet'!$C20,Lookups!$A$3:$W$116,10,FALSE),"")))),"")</f>
        <v/>
      </c>
      <c r="I20" s="186" t="str">
        <f t="shared" si="0"/>
        <v/>
      </c>
      <c r="J20" s="171" t="str">
        <f>IF($B20&lt;&gt;"",IF($C$2="Single Building",LEFT($G$4,7),Lookups!$AK20),"")</f>
        <v/>
      </c>
      <c r="K20" s="118" t="str">
        <f>IFERROR(VLOOKUP('EUIt Sheet'!$C20,Lookups!$A$3:$T$116,11,FALSE),"")</f>
        <v/>
      </c>
      <c r="L20" s="13" t="str">
        <f>IFERROR(VLOOKUP('EUIt Sheet'!$C20,Lookups!$A$3:$T$116,12,FALSE),"")</f>
        <v/>
      </c>
      <c r="M20" s="13" t="str">
        <f>IFERROR(VLOOKUP('EUIt Sheet'!$C20,Lookups!$A$3:$T$116,13,FALSE),"")</f>
        <v/>
      </c>
      <c r="N20" s="148">
        <f t="shared" si="1"/>
        <v>0</v>
      </c>
      <c r="O20" s="3">
        <f t="shared" si="2"/>
        <v>0</v>
      </c>
      <c r="P20" s="145"/>
    </row>
    <row r="21" spans="1:16" ht="16" x14ac:dyDescent="0.35">
      <c r="A21" s="192" t="str">
        <f t="shared" si="3"/>
        <v/>
      </c>
      <c r="B21" s="137"/>
      <c r="C21" s="140"/>
      <c r="D21" s="176"/>
      <c r="E21" s="177"/>
      <c r="F21" s="178"/>
      <c r="G21" s="185" t="str">
        <f>IFERROR(IF($C$7="4C",VLOOKUP('EUIt Sheet'!$C21,Lookups!$A$3:$W$116,6,FALSE),IF($C$7="5B",VLOOKUP('EUIt Sheet'!$C21,Lookups!$A$3:$W$116,7,FALSE),"")),"")</f>
        <v/>
      </c>
      <c r="H21" s="183" t="str">
        <f>IFERROR(IF(AND($E21&lt;=0,D21&gt;0),"enter hours",IF($E21&lt;=50,VLOOKUP('EUIt Sheet'!$C21,Lookups!$A$3:$W$116,8,FALSE),IF($E21&lt;=167,VLOOKUP('EUIt Sheet'!$C21,Lookups!$A$3:$W$116,9,FALSE),IF($E21=168,VLOOKUP('EUIt Sheet'!$C21,Lookups!$A$3:$W$116,10,FALSE),"")))),"")</f>
        <v/>
      </c>
      <c r="I21" s="186" t="str">
        <f t="shared" si="0"/>
        <v/>
      </c>
      <c r="J21" s="171" t="str">
        <f>IF($B21&lt;&gt;"",IF($C$2="Single Building",LEFT($G$4,7),Lookups!$AK21),"")</f>
        <v/>
      </c>
      <c r="K21" s="118" t="str">
        <f>IFERROR(VLOOKUP('EUIt Sheet'!$C21,Lookups!$A$3:$T$116,11,FALSE),"")</f>
        <v/>
      </c>
      <c r="L21" s="13" t="str">
        <f>IFERROR(VLOOKUP('EUIt Sheet'!$C21,Lookups!$A$3:$T$116,12,FALSE),"")</f>
        <v/>
      </c>
      <c r="M21" s="13" t="str">
        <f>IFERROR(VLOOKUP('EUIt Sheet'!$C21,Lookups!$A$3:$T$116,13,FALSE),"")</f>
        <v/>
      </c>
      <c r="N21" s="148">
        <f t="shared" si="1"/>
        <v>0</v>
      </c>
      <c r="O21" s="3">
        <f t="shared" si="2"/>
        <v>0</v>
      </c>
      <c r="P21" s="145"/>
    </row>
    <row r="22" spans="1:16" ht="16" x14ac:dyDescent="0.35">
      <c r="A22" s="192" t="str">
        <f t="shared" si="3"/>
        <v/>
      </c>
      <c r="B22" s="137"/>
      <c r="C22" s="140"/>
      <c r="D22" s="176"/>
      <c r="E22" s="177"/>
      <c r="F22" s="178"/>
      <c r="G22" s="185" t="str">
        <f>IFERROR(IF($C$7="4C",VLOOKUP('EUIt Sheet'!$C22,Lookups!$A$3:$W$116,6,FALSE),IF($C$7="5B",VLOOKUP('EUIt Sheet'!$C22,Lookups!$A$3:$W$116,7,FALSE),"")),"")</f>
        <v/>
      </c>
      <c r="H22" s="183" t="str">
        <f>IFERROR(IF(AND($E22&lt;=0,D22&gt;0),"enter hours",IF($E22&lt;=50,VLOOKUP('EUIt Sheet'!$C22,Lookups!$A$3:$W$116,8,FALSE),IF($E22&lt;=167,VLOOKUP('EUIt Sheet'!$C22,Lookups!$A$3:$W$116,9,FALSE),IF($E22=168,VLOOKUP('EUIt Sheet'!$C22,Lookups!$A$3:$W$116,10,FALSE),"")))),"")</f>
        <v/>
      </c>
      <c r="I22" s="186" t="str">
        <f t="shared" si="0"/>
        <v/>
      </c>
      <c r="J22" s="171" t="str">
        <f>IF($B22&lt;&gt;"",IF($C$2="Single Building",LEFT($G$4,7),Lookups!$AK22),"")</f>
        <v/>
      </c>
      <c r="K22" s="118" t="str">
        <f>IFERROR(VLOOKUP('EUIt Sheet'!$C22,Lookups!$A$3:$T$116,11,FALSE),"")</f>
        <v/>
      </c>
      <c r="L22" s="13" t="str">
        <f>IFERROR(VLOOKUP('EUIt Sheet'!$C22,Lookups!$A$3:$T$116,12,FALSE),"")</f>
        <v/>
      </c>
      <c r="M22" s="13" t="str">
        <f>IFERROR(VLOOKUP('EUIt Sheet'!$C22,Lookups!$A$3:$T$116,13,FALSE),"")</f>
        <v/>
      </c>
      <c r="N22" s="148">
        <f t="shared" si="1"/>
        <v>0</v>
      </c>
      <c r="O22" s="3">
        <f t="shared" si="2"/>
        <v>0</v>
      </c>
      <c r="P22" s="145"/>
    </row>
    <row r="23" spans="1:16" ht="16" x14ac:dyDescent="0.35">
      <c r="A23" s="192" t="str">
        <f t="shared" si="3"/>
        <v/>
      </c>
      <c r="B23" s="137"/>
      <c r="C23" s="140"/>
      <c r="D23" s="176"/>
      <c r="E23" s="177"/>
      <c r="F23" s="178"/>
      <c r="G23" s="185" t="str">
        <f>IFERROR(IF($C$7="4C",VLOOKUP('EUIt Sheet'!$C23,Lookups!$A$3:$W$116,6,FALSE),IF($C$7="5B",VLOOKUP('EUIt Sheet'!$C23,Lookups!$A$3:$W$116,7,FALSE),"")),"")</f>
        <v/>
      </c>
      <c r="H23" s="183" t="str">
        <f>IFERROR(IF(AND($E23&lt;=0,D23&gt;0),"enter hours",IF($E23&lt;=50,VLOOKUP('EUIt Sheet'!$C23,Lookups!$A$3:$W$116,8,FALSE),IF($E23&lt;=167,VLOOKUP('EUIt Sheet'!$C23,Lookups!$A$3:$W$116,9,FALSE),IF($E23=168,VLOOKUP('EUIt Sheet'!$C23,Lookups!$A$3:$W$116,10,FALSE),"")))),"")</f>
        <v/>
      </c>
      <c r="I23" s="186" t="str">
        <f t="shared" si="0"/>
        <v/>
      </c>
      <c r="J23" s="171" t="str">
        <f>IF($B23&lt;&gt;"",IF($C$2="Single Building",LEFT($G$4,7),Lookups!$AK23),"")</f>
        <v/>
      </c>
      <c r="K23" s="118" t="str">
        <f>IFERROR(VLOOKUP('EUIt Sheet'!$C23,Lookups!$A$3:$T$116,11,FALSE),"")</f>
        <v/>
      </c>
      <c r="L23" s="13" t="str">
        <f>IFERROR(VLOOKUP('EUIt Sheet'!$C23,Lookups!$A$3:$T$116,12,FALSE),"")</f>
        <v/>
      </c>
      <c r="M23" s="13" t="str">
        <f>IFERROR(VLOOKUP('EUIt Sheet'!$C23,Lookups!$A$3:$T$116,13,FALSE),"")</f>
        <v/>
      </c>
      <c r="N23" s="148">
        <f t="shared" si="1"/>
        <v>0</v>
      </c>
      <c r="O23" s="3">
        <f t="shared" si="2"/>
        <v>0</v>
      </c>
      <c r="P23" s="145"/>
    </row>
    <row r="24" spans="1:16" ht="16" x14ac:dyDescent="0.35">
      <c r="A24" s="192" t="str">
        <f t="shared" si="3"/>
        <v/>
      </c>
      <c r="B24" s="137"/>
      <c r="C24" s="140"/>
      <c r="D24" s="176"/>
      <c r="E24" s="177"/>
      <c r="F24" s="178"/>
      <c r="G24" s="185" t="str">
        <f>IFERROR(IF($C$7="4C",VLOOKUP('EUIt Sheet'!$C24,Lookups!$A$3:$W$116,6,FALSE),IF($C$7="5B",VLOOKUP('EUIt Sheet'!$C24,Lookups!$A$3:$W$116,7,FALSE),"")),"")</f>
        <v/>
      </c>
      <c r="H24" s="183" t="str">
        <f>IFERROR(IF(AND($E24&lt;=0,D24&gt;0),"enter hours",IF($E24&lt;=50,VLOOKUP('EUIt Sheet'!$C24,Lookups!$A$3:$W$116,8,FALSE),IF($E24&lt;=167,VLOOKUP('EUIt Sheet'!$C24,Lookups!$A$3:$W$116,9,FALSE),IF($E24=168,VLOOKUP('EUIt Sheet'!$C24,Lookups!$A$3:$W$116,10,FALSE),"")))),"")</f>
        <v/>
      </c>
      <c r="I24" s="186" t="str">
        <f t="shared" si="0"/>
        <v/>
      </c>
      <c r="J24" s="171" t="str">
        <f>IF($B24&lt;&gt;"",IF($C$2="Single Building",LEFT($G$4,7),Lookups!$AK24),"")</f>
        <v/>
      </c>
      <c r="K24" s="118" t="str">
        <f>IFERROR(VLOOKUP('EUIt Sheet'!$C24,Lookups!$A$3:$T$116,11,FALSE),"")</f>
        <v/>
      </c>
      <c r="L24" s="13" t="str">
        <f>IFERROR(VLOOKUP('EUIt Sheet'!$C24,Lookups!$A$3:$T$116,12,FALSE),"")</f>
        <v/>
      </c>
      <c r="M24" s="13" t="str">
        <f>IFERROR(VLOOKUP('EUIt Sheet'!$C24,Lookups!$A$3:$T$116,13,FALSE),"")</f>
        <v/>
      </c>
      <c r="N24" s="148">
        <f t="shared" si="1"/>
        <v>0</v>
      </c>
      <c r="O24" s="3">
        <f t="shared" si="2"/>
        <v>0</v>
      </c>
      <c r="P24" s="145"/>
    </row>
    <row r="25" spans="1:16" ht="16" x14ac:dyDescent="0.35">
      <c r="A25" s="192" t="str">
        <f t="shared" si="3"/>
        <v/>
      </c>
      <c r="B25" s="137"/>
      <c r="C25" s="140"/>
      <c r="D25" s="176"/>
      <c r="E25" s="177"/>
      <c r="F25" s="178"/>
      <c r="G25" s="185" t="str">
        <f>IFERROR(IF($C$7="4C",VLOOKUP('EUIt Sheet'!$C25,Lookups!$A$3:$W$116,6,FALSE),IF($C$7="5B",VLOOKUP('EUIt Sheet'!$C25,Lookups!$A$3:$W$116,7,FALSE),"")),"")</f>
        <v/>
      </c>
      <c r="H25" s="183" t="str">
        <f>IFERROR(IF(AND($E25&lt;=0,D25&gt;0),"enter hours",IF($E25&lt;=50,VLOOKUP('EUIt Sheet'!$C25,Lookups!$A$3:$W$116,8,FALSE),IF($E25&lt;=167,VLOOKUP('EUIt Sheet'!$C25,Lookups!$A$3:$W$116,9,FALSE),IF($E25=168,VLOOKUP('EUIt Sheet'!$C25,Lookups!$A$3:$W$116,10,FALSE),"")))),"")</f>
        <v/>
      </c>
      <c r="I25" s="186" t="str">
        <f t="shared" si="0"/>
        <v/>
      </c>
      <c r="J25" s="171" t="str">
        <f>IF($B25&lt;&gt;"",IF($C$2="Single Building",LEFT($G$4,7),Lookups!$AK25),"")</f>
        <v/>
      </c>
      <c r="K25" s="118" t="str">
        <f>IFERROR(VLOOKUP('EUIt Sheet'!$C25,Lookups!$A$3:$T$116,11,FALSE),"")</f>
        <v/>
      </c>
      <c r="L25" s="13" t="str">
        <f>IFERROR(VLOOKUP('EUIt Sheet'!$C25,Lookups!$A$3:$T$116,12,FALSE),"")</f>
        <v/>
      </c>
      <c r="M25" s="13" t="str">
        <f>IFERROR(VLOOKUP('EUIt Sheet'!$C25,Lookups!$A$3:$T$116,13,FALSE),"")</f>
        <v/>
      </c>
      <c r="N25" s="148">
        <f t="shared" si="1"/>
        <v>0</v>
      </c>
      <c r="O25" s="3">
        <f t="shared" si="2"/>
        <v>0</v>
      </c>
      <c r="P25" s="145"/>
    </row>
    <row r="26" spans="1:16" ht="16" x14ac:dyDescent="0.35">
      <c r="A26" s="192" t="str">
        <f t="shared" si="3"/>
        <v/>
      </c>
      <c r="B26" s="137"/>
      <c r="C26" s="140"/>
      <c r="D26" s="176"/>
      <c r="E26" s="177"/>
      <c r="F26" s="178"/>
      <c r="G26" s="185" t="str">
        <f>IFERROR(IF($C$7="4C",VLOOKUP('EUIt Sheet'!$C26,Lookups!$A$3:$W$116,6,FALSE),IF($C$7="5B",VLOOKUP('EUIt Sheet'!$C26,Lookups!$A$3:$W$116,7,FALSE),"")),"")</f>
        <v/>
      </c>
      <c r="H26" s="183" t="str">
        <f>IFERROR(IF(AND($E26&lt;=0,D26&gt;0),"enter hours",IF($E26&lt;=50,VLOOKUP('EUIt Sheet'!$C26,Lookups!$A$3:$W$116,8,FALSE),IF($E26&lt;=167,VLOOKUP('EUIt Sheet'!$C26,Lookups!$A$3:$W$116,9,FALSE),IF($E26=168,VLOOKUP('EUIt Sheet'!$C26,Lookups!$A$3:$W$116,10,FALSE),"")))),"")</f>
        <v/>
      </c>
      <c r="I26" s="186" t="str">
        <f t="shared" si="0"/>
        <v/>
      </c>
      <c r="J26" s="171" t="str">
        <f>IF($B26&lt;&gt;"",IF($C$2="Single Building",LEFT($G$4,7),Lookups!$AK26),"")</f>
        <v/>
      </c>
      <c r="K26" s="118" t="str">
        <f>IFERROR(VLOOKUP('EUIt Sheet'!$C26,Lookups!$A$3:$T$116,11,FALSE),"")</f>
        <v/>
      </c>
      <c r="L26" s="13" t="str">
        <f>IFERROR(VLOOKUP('EUIt Sheet'!$C26,Lookups!$A$3:$T$116,12,FALSE),"")</f>
        <v/>
      </c>
      <c r="M26" s="13" t="str">
        <f>IFERROR(VLOOKUP('EUIt Sheet'!$C26,Lookups!$A$3:$T$116,13,FALSE),"")</f>
        <v/>
      </c>
      <c r="N26" s="148">
        <f t="shared" si="1"/>
        <v>0</v>
      </c>
      <c r="O26" s="3">
        <f t="shared" si="2"/>
        <v>0</v>
      </c>
      <c r="P26" s="145"/>
    </row>
    <row r="27" spans="1:16" ht="16" x14ac:dyDescent="0.35">
      <c r="A27" s="192" t="str">
        <f t="shared" si="3"/>
        <v/>
      </c>
      <c r="B27" s="137"/>
      <c r="C27" s="140"/>
      <c r="D27" s="176"/>
      <c r="E27" s="177"/>
      <c r="F27" s="178"/>
      <c r="G27" s="185" t="str">
        <f>IFERROR(IF($C$7="4C",VLOOKUP('EUIt Sheet'!$C27,Lookups!$A$3:$W$116,6,FALSE),IF($C$7="5B",VLOOKUP('EUIt Sheet'!$C27,Lookups!$A$3:$W$116,7,FALSE),"")),"")</f>
        <v/>
      </c>
      <c r="H27" s="183" t="str">
        <f>IFERROR(IF(AND($E27&lt;=0,D27&gt;0),"enter hours",IF($E27&lt;=50,VLOOKUP('EUIt Sheet'!$C27,Lookups!$A$3:$W$116,8,FALSE),IF($E27&lt;=167,VLOOKUP('EUIt Sheet'!$C27,Lookups!$A$3:$W$116,9,FALSE),IF($E27=168,VLOOKUP('EUIt Sheet'!$C27,Lookups!$A$3:$W$116,10,FALSE),"")))),"")</f>
        <v/>
      </c>
      <c r="I27" s="186" t="str">
        <f t="shared" si="0"/>
        <v/>
      </c>
      <c r="J27" s="171" t="str">
        <f>IF($B27&lt;&gt;"",IF($C$2="Single Building",LEFT($G$4,7),Lookups!$AK27),"")</f>
        <v/>
      </c>
      <c r="K27" s="118" t="str">
        <f>IFERROR(VLOOKUP('EUIt Sheet'!$C27,Lookups!$A$3:$T$116,11,FALSE),"")</f>
        <v/>
      </c>
      <c r="L27" s="13" t="str">
        <f>IFERROR(VLOOKUP('EUIt Sheet'!$C27,Lookups!$A$3:$T$116,12,FALSE),"")</f>
        <v/>
      </c>
      <c r="M27" s="13" t="str">
        <f>IFERROR(VLOOKUP('EUIt Sheet'!$C27,Lookups!$A$3:$T$116,13,FALSE),"")</f>
        <v/>
      </c>
      <c r="N27" s="148">
        <f t="shared" si="1"/>
        <v>0</v>
      </c>
      <c r="O27" s="3">
        <f t="shared" si="2"/>
        <v>0</v>
      </c>
      <c r="P27" s="145"/>
    </row>
    <row r="28" spans="1:16" ht="16" x14ac:dyDescent="0.35">
      <c r="A28" s="192" t="str">
        <f t="shared" si="3"/>
        <v/>
      </c>
      <c r="B28" s="137"/>
      <c r="C28" s="140"/>
      <c r="D28" s="176"/>
      <c r="E28" s="177"/>
      <c r="F28" s="178"/>
      <c r="G28" s="185" t="str">
        <f>IFERROR(IF($C$7="4C",VLOOKUP('EUIt Sheet'!$C28,Lookups!$A$3:$W$116,6,FALSE),IF($C$7="5B",VLOOKUP('EUIt Sheet'!$C28,Lookups!$A$3:$W$116,7,FALSE),"")),"")</f>
        <v/>
      </c>
      <c r="H28" s="183" t="str">
        <f>IFERROR(IF(AND($E28&lt;=0,D28&gt;0),"enter hours",IF($E28&lt;=50,VLOOKUP('EUIt Sheet'!$C28,Lookups!$A$3:$W$116,8,FALSE),IF($E28&lt;=167,VLOOKUP('EUIt Sheet'!$C28,Lookups!$A$3:$W$116,9,FALSE),IF($E28=168,VLOOKUP('EUIt Sheet'!$C28,Lookups!$A$3:$W$116,10,FALSE),"")))),"")</f>
        <v/>
      </c>
      <c r="I28" s="186" t="str">
        <f t="shared" si="0"/>
        <v/>
      </c>
      <c r="J28" s="171" t="str">
        <f>IF($B28&lt;&gt;"",IF($C$2="Single Building",LEFT($G$4,7),Lookups!$AK28),"")</f>
        <v/>
      </c>
      <c r="K28" s="118" t="str">
        <f>IFERROR(VLOOKUP('EUIt Sheet'!$C28,Lookups!$A$3:$T$116,11,FALSE),"")</f>
        <v/>
      </c>
      <c r="L28" s="13" t="str">
        <f>IFERROR(VLOOKUP('EUIt Sheet'!$C28,Lookups!$A$3:$T$116,12,FALSE),"")</f>
        <v/>
      </c>
      <c r="M28" s="13" t="str">
        <f>IFERROR(VLOOKUP('EUIt Sheet'!$C28,Lookups!$A$3:$T$116,13,FALSE),"")</f>
        <v/>
      </c>
      <c r="N28" s="148">
        <f t="shared" si="1"/>
        <v>0</v>
      </c>
      <c r="O28" s="3">
        <f t="shared" si="2"/>
        <v>0</v>
      </c>
      <c r="P28" s="145"/>
    </row>
    <row r="29" spans="1:16" ht="16" x14ac:dyDescent="0.35">
      <c r="A29" s="192" t="str">
        <f t="shared" si="3"/>
        <v/>
      </c>
      <c r="B29" s="137"/>
      <c r="C29" s="140"/>
      <c r="D29" s="176"/>
      <c r="E29" s="177"/>
      <c r="F29" s="178"/>
      <c r="G29" s="185" t="str">
        <f>IFERROR(IF($C$7="4C",VLOOKUP('EUIt Sheet'!$C29,Lookups!$A$3:$W$116,6,FALSE),IF($C$7="5B",VLOOKUP('EUIt Sheet'!$C29,Lookups!$A$3:$W$116,7,FALSE),"")),"")</f>
        <v/>
      </c>
      <c r="H29" s="183" t="str">
        <f>IFERROR(IF(AND($E29&lt;=0,D29&gt;0),"enter hours",IF($E29&lt;=50,VLOOKUP('EUIt Sheet'!$C29,Lookups!$A$3:$W$116,8,FALSE),IF($E29&lt;=167,VLOOKUP('EUIt Sheet'!$C29,Lookups!$A$3:$W$116,9,FALSE),IF($E29=168,VLOOKUP('EUIt Sheet'!$C29,Lookups!$A$3:$W$116,10,FALSE),"")))),"")</f>
        <v/>
      </c>
      <c r="I29" s="186" t="str">
        <f t="shared" si="0"/>
        <v/>
      </c>
      <c r="J29" s="171" t="str">
        <f>IF($B29&lt;&gt;"",IF($C$2="Single Building",LEFT($G$4,7),Lookups!$AK29),"")</f>
        <v/>
      </c>
      <c r="K29" s="118" t="str">
        <f>IFERROR(VLOOKUP('EUIt Sheet'!$C29,Lookups!$A$3:$T$116,11,FALSE),"")</f>
        <v/>
      </c>
      <c r="L29" s="13" t="str">
        <f>IFERROR(VLOOKUP('EUIt Sheet'!$C29,Lookups!$A$3:$T$116,12,FALSE),"")</f>
        <v/>
      </c>
      <c r="M29" s="13" t="str">
        <f>IFERROR(VLOOKUP('EUIt Sheet'!$C29,Lookups!$A$3:$T$116,13,FALSE),"")</f>
        <v/>
      </c>
      <c r="N29" s="148">
        <f t="shared" si="1"/>
        <v>0</v>
      </c>
      <c r="O29" s="3">
        <f t="shared" si="2"/>
        <v>0</v>
      </c>
      <c r="P29" s="145"/>
    </row>
    <row r="30" spans="1:16" ht="16" x14ac:dyDescent="0.35">
      <c r="A30" s="192" t="str">
        <f t="shared" si="3"/>
        <v/>
      </c>
      <c r="B30" s="137"/>
      <c r="C30" s="140"/>
      <c r="D30" s="176"/>
      <c r="E30" s="177"/>
      <c r="F30" s="178"/>
      <c r="G30" s="185" t="str">
        <f>IFERROR(IF($C$7="4C",VLOOKUP('EUIt Sheet'!$C30,Lookups!$A$3:$W$116,6,FALSE),IF($C$7="5B",VLOOKUP('EUIt Sheet'!$C30,Lookups!$A$3:$W$116,7,FALSE),"")),"")</f>
        <v/>
      </c>
      <c r="H30" s="183" t="str">
        <f>IFERROR(IF(AND($E30&lt;=0,D30&gt;0),"enter hours",IF($E30&lt;=50,VLOOKUP('EUIt Sheet'!$C30,Lookups!$A$3:$W$116,8,FALSE),IF($E30&lt;=167,VLOOKUP('EUIt Sheet'!$C30,Lookups!$A$3:$W$116,9,FALSE),IF($E30=168,VLOOKUP('EUIt Sheet'!$C30,Lookups!$A$3:$W$116,10,FALSE),"")))),"")</f>
        <v/>
      </c>
      <c r="I30" s="186" t="str">
        <f t="shared" si="0"/>
        <v/>
      </c>
      <c r="J30" s="171" t="str">
        <f>IF($B30&lt;&gt;"",IF($C$2="Single Building",LEFT($G$4,7),Lookups!$AK30),"")</f>
        <v/>
      </c>
      <c r="K30" s="118" t="str">
        <f>IFERROR(VLOOKUP('EUIt Sheet'!$C30,Lookups!$A$3:$T$116,11,FALSE),"")</f>
        <v/>
      </c>
      <c r="L30" s="13" t="str">
        <f>IFERROR(VLOOKUP('EUIt Sheet'!$C30,Lookups!$A$3:$T$116,12,FALSE),"")</f>
        <v/>
      </c>
      <c r="M30" s="13" t="str">
        <f>IFERROR(VLOOKUP('EUIt Sheet'!$C30,Lookups!$A$3:$T$116,13,FALSE),"")</f>
        <v/>
      </c>
      <c r="N30" s="148">
        <f t="shared" si="1"/>
        <v>0</v>
      </c>
      <c r="O30" s="3">
        <f t="shared" si="2"/>
        <v>0</v>
      </c>
      <c r="P30" s="145"/>
    </row>
    <row r="31" spans="1:16" ht="16" x14ac:dyDescent="0.35">
      <c r="A31" s="192" t="str">
        <f t="shared" si="3"/>
        <v/>
      </c>
      <c r="B31" s="137"/>
      <c r="C31" s="140"/>
      <c r="D31" s="176"/>
      <c r="E31" s="177"/>
      <c r="F31" s="178"/>
      <c r="G31" s="185" t="str">
        <f>IFERROR(IF($C$7="4C",VLOOKUP('EUIt Sheet'!$C31,Lookups!$A$3:$W$116,6,FALSE),IF($C$7="5B",VLOOKUP('EUIt Sheet'!$C31,Lookups!$A$3:$W$116,7,FALSE),"")),"")</f>
        <v/>
      </c>
      <c r="H31" s="183" t="str">
        <f>IFERROR(IF(AND($E31&lt;=0,D31&gt;0),"enter hours",IF($E31&lt;=50,VLOOKUP('EUIt Sheet'!$C31,Lookups!$A$3:$W$116,8,FALSE),IF($E31&lt;=167,VLOOKUP('EUIt Sheet'!$C31,Lookups!$A$3:$W$116,9,FALSE),IF($E31=168,VLOOKUP('EUIt Sheet'!$C31,Lookups!$A$3:$W$116,10,FALSE),"")))),"")</f>
        <v/>
      </c>
      <c r="I31" s="186" t="str">
        <f t="shared" si="0"/>
        <v/>
      </c>
      <c r="J31" s="171" t="str">
        <f>IF($B31&lt;&gt;"",IF($C$2="Single Building",LEFT($G$4,7),Lookups!$AK31),"")</f>
        <v/>
      </c>
      <c r="K31" s="118" t="str">
        <f>IFERROR(VLOOKUP('EUIt Sheet'!$C31,Lookups!$A$3:$T$116,11,FALSE),"")</f>
        <v/>
      </c>
      <c r="L31" s="13" t="str">
        <f>IFERROR(VLOOKUP('EUIt Sheet'!$C31,Lookups!$A$3:$T$116,12,FALSE),"")</f>
        <v/>
      </c>
      <c r="M31" s="13" t="str">
        <f>IFERROR(VLOOKUP('EUIt Sheet'!$C31,Lookups!$A$3:$T$116,13,FALSE),"")</f>
        <v/>
      </c>
      <c r="N31" s="148">
        <f t="shared" si="1"/>
        <v>0</v>
      </c>
      <c r="O31" s="3">
        <f t="shared" si="2"/>
        <v>0</v>
      </c>
      <c r="P31" s="145"/>
    </row>
    <row r="32" spans="1:16" ht="16" x14ac:dyDescent="0.35">
      <c r="A32" s="192" t="str">
        <f t="shared" si="3"/>
        <v/>
      </c>
      <c r="B32" s="137"/>
      <c r="C32" s="140"/>
      <c r="D32" s="176"/>
      <c r="E32" s="177"/>
      <c r="F32" s="178"/>
      <c r="G32" s="185" t="str">
        <f>IFERROR(IF($C$7="4C",VLOOKUP('EUIt Sheet'!$C32,Lookups!$A$3:$W$116,6,FALSE),IF($C$7="5B",VLOOKUP('EUIt Sheet'!$C32,Lookups!$A$3:$W$116,7,FALSE),"")),"")</f>
        <v/>
      </c>
      <c r="H32" s="183" t="str">
        <f>IFERROR(IF(AND($E32&lt;=0,D32&gt;0),"enter hours",IF($E32&lt;=50,VLOOKUP('EUIt Sheet'!$C32,Lookups!$A$3:$W$116,8,FALSE),IF($E32&lt;=167,VLOOKUP('EUIt Sheet'!$C32,Lookups!$A$3:$W$116,9,FALSE),IF($E32=168,VLOOKUP('EUIt Sheet'!$C32,Lookups!$A$3:$W$116,10,FALSE),"")))),"")</f>
        <v/>
      </c>
      <c r="I32" s="186" t="str">
        <f t="shared" si="0"/>
        <v/>
      </c>
      <c r="J32" s="171" t="str">
        <f>IF($B32&lt;&gt;"",IF($C$2="Single Building",LEFT($G$4,7),Lookups!$AK32),"")</f>
        <v/>
      </c>
      <c r="K32" s="118" t="str">
        <f>IFERROR(VLOOKUP('EUIt Sheet'!$C32,Lookups!$A$3:$T$116,11,FALSE),"")</f>
        <v/>
      </c>
      <c r="L32" s="13" t="str">
        <f>IFERROR(VLOOKUP('EUIt Sheet'!$C32,Lookups!$A$3:$T$116,12,FALSE),"")</f>
        <v/>
      </c>
      <c r="M32" s="13" t="str">
        <f>IFERROR(VLOOKUP('EUIt Sheet'!$C32,Lookups!$A$3:$T$116,13,FALSE),"")</f>
        <v/>
      </c>
      <c r="N32" s="148">
        <f t="shared" si="1"/>
        <v>0</v>
      </c>
      <c r="O32" s="3">
        <f t="shared" si="2"/>
        <v>0</v>
      </c>
      <c r="P32" s="145"/>
    </row>
    <row r="33" spans="1:16" ht="16" x14ac:dyDescent="0.35">
      <c r="A33" s="192" t="str">
        <f t="shared" si="3"/>
        <v/>
      </c>
      <c r="B33" s="137"/>
      <c r="C33" s="140"/>
      <c r="D33" s="176"/>
      <c r="E33" s="177"/>
      <c r="F33" s="178"/>
      <c r="G33" s="185" t="str">
        <f>IFERROR(IF($C$7="4C",VLOOKUP('EUIt Sheet'!$C33,Lookups!$A$3:$W$116,6,FALSE),IF($C$7="5B",VLOOKUP('EUIt Sheet'!$C33,Lookups!$A$3:$W$116,7,FALSE),"")),"")</f>
        <v/>
      </c>
      <c r="H33" s="183" t="str">
        <f>IFERROR(IF(AND($E33&lt;=0,D33&gt;0),"enter hours",IF($E33&lt;=50,VLOOKUP('EUIt Sheet'!$C33,Lookups!$A$3:$W$116,8,FALSE),IF($E33&lt;=167,VLOOKUP('EUIt Sheet'!$C33,Lookups!$A$3:$W$116,9,FALSE),IF($E33=168,VLOOKUP('EUIt Sheet'!$C33,Lookups!$A$3:$W$116,10,FALSE),"")))),"")</f>
        <v/>
      </c>
      <c r="I33" s="186" t="str">
        <f t="shared" si="0"/>
        <v/>
      </c>
      <c r="J33" s="171" t="str">
        <f>IF($B33&lt;&gt;"",IF($C$2="Single Building",LEFT($G$4,7),Lookups!$AK33),"")</f>
        <v/>
      </c>
      <c r="K33" s="118" t="str">
        <f>IFERROR(VLOOKUP('EUIt Sheet'!$C33,Lookups!$A$3:$T$116,11,FALSE),"")</f>
        <v/>
      </c>
      <c r="L33" s="13" t="str">
        <f>IFERROR(VLOOKUP('EUIt Sheet'!$C33,Lookups!$A$3:$T$116,12,FALSE),"")</f>
        <v/>
      </c>
      <c r="M33" s="13" t="str">
        <f>IFERROR(VLOOKUP('EUIt Sheet'!$C33,Lookups!$A$3:$T$116,13,FALSE),"")</f>
        <v/>
      </c>
      <c r="N33" s="148">
        <f t="shared" si="1"/>
        <v>0</v>
      </c>
      <c r="O33" s="3">
        <f t="shared" si="2"/>
        <v>0</v>
      </c>
      <c r="P33" s="145"/>
    </row>
    <row r="34" spans="1:16" ht="16" x14ac:dyDescent="0.35">
      <c r="A34" s="192" t="str">
        <f t="shared" si="3"/>
        <v/>
      </c>
      <c r="B34" s="137"/>
      <c r="C34" s="140"/>
      <c r="D34" s="176"/>
      <c r="E34" s="177"/>
      <c r="F34" s="178"/>
      <c r="G34" s="185" t="str">
        <f>IFERROR(IF($C$7="4C",VLOOKUP('EUIt Sheet'!$C34,Lookups!$A$3:$W$116,6,FALSE),IF($C$7="5B",VLOOKUP('EUIt Sheet'!$C34,Lookups!$A$3:$W$116,7,FALSE),"")),"")</f>
        <v/>
      </c>
      <c r="H34" s="183" t="str">
        <f>IFERROR(IF(AND($E34&lt;=0,D34&gt;0),"enter hours",IF($E34&lt;=50,VLOOKUP('EUIt Sheet'!$C34,Lookups!$A$3:$W$116,8,FALSE),IF($E34&lt;=167,VLOOKUP('EUIt Sheet'!$C34,Lookups!$A$3:$W$116,9,FALSE),IF($E34=168,VLOOKUP('EUIt Sheet'!$C34,Lookups!$A$3:$W$116,10,FALSE),"")))),"")</f>
        <v/>
      </c>
      <c r="I34" s="186" t="str">
        <f t="shared" si="0"/>
        <v/>
      </c>
      <c r="J34" s="171" t="str">
        <f>IF($B34&lt;&gt;"",IF($C$2="Single Building",LEFT($G$4,7),Lookups!$AK34),"")</f>
        <v/>
      </c>
      <c r="K34" s="118" t="str">
        <f>IFERROR(VLOOKUP('EUIt Sheet'!$C34,Lookups!$A$3:$T$116,11,FALSE),"")</f>
        <v/>
      </c>
      <c r="L34" s="13" t="str">
        <f>IFERROR(VLOOKUP('EUIt Sheet'!$C34,Lookups!$A$3:$T$116,12,FALSE),"")</f>
        <v/>
      </c>
      <c r="M34" s="13" t="str">
        <f>IFERROR(VLOOKUP('EUIt Sheet'!$C34,Lookups!$A$3:$T$116,13,FALSE),"")</f>
        <v/>
      </c>
      <c r="N34" s="148">
        <f t="shared" si="1"/>
        <v>0</v>
      </c>
      <c r="O34" s="3">
        <f t="shared" si="2"/>
        <v>0</v>
      </c>
      <c r="P34" s="145"/>
    </row>
    <row r="35" spans="1:16" ht="16" x14ac:dyDescent="0.35">
      <c r="A35" s="192" t="str">
        <f t="shared" si="3"/>
        <v/>
      </c>
      <c r="B35" s="137"/>
      <c r="C35" s="140"/>
      <c r="D35" s="176"/>
      <c r="E35" s="177"/>
      <c r="F35" s="178"/>
      <c r="G35" s="185" t="str">
        <f>IFERROR(IF($C$7="4C",VLOOKUP('EUIt Sheet'!$C35,Lookups!$A$3:$W$116,6,FALSE),IF($C$7="5B",VLOOKUP('EUIt Sheet'!$C35,Lookups!$A$3:$W$116,7,FALSE),"")),"")</f>
        <v/>
      </c>
      <c r="H35" s="183" t="str">
        <f>IFERROR(IF(AND($E35&lt;=0,D35&gt;0),"enter hours",IF($E35&lt;=50,VLOOKUP('EUIt Sheet'!$C35,Lookups!$A$3:$W$116,8,FALSE),IF($E35&lt;=167,VLOOKUP('EUIt Sheet'!$C35,Lookups!$A$3:$W$116,9,FALSE),IF($E35=168,VLOOKUP('EUIt Sheet'!$C35,Lookups!$A$3:$W$116,10,FALSE),"")))),"")</f>
        <v/>
      </c>
      <c r="I35" s="186" t="str">
        <f t="shared" si="0"/>
        <v/>
      </c>
      <c r="J35" s="171" t="str">
        <f>IF($B35&lt;&gt;"",IF($C$2="Single Building",LEFT($G$4,7),Lookups!$AK35),"")</f>
        <v/>
      </c>
      <c r="K35" s="118" t="str">
        <f>IFERROR(VLOOKUP('EUIt Sheet'!$C35,Lookups!$A$3:$T$116,11,FALSE),"")</f>
        <v/>
      </c>
      <c r="L35" s="13" t="str">
        <f>IFERROR(VLOOKUP('EUIt Sheet'!$C35,Lookups!$A$3:$T$116,12,FALSE),"")</f>
        <v/>
      </c>
      <c r="M35" s="13" t="str">
        <f>IFERROR(VLOOKUP('EUIt Sheet'!$C35,Lookups!$A$3:$T$116,13,FALSE),"")</f>
        <v/>
      </c>
      <c r="N35" s="148">
        <f t="shared" si="1"/>
        <v>0</v>
      </c>
      <c r="O35" s="3">
        <f t="shared" si="2"/>
        <v>0</v>
      </c>
      <c r="P35" s="145"/>
    </row>
    <row r="36" spans="1:16" ht="16" x14ac:dyDescent="0.35">
      <c r="A36" s="192" t="str">
        <f t="shared" si="3"/>
        <v/>
      </c>
      <c r="B36" s="137"/>
      <c r="C36" s="140"/>
      <c r="D36" s="176"/>
      <c r="E36" s="177"/>
      <c r="F36" s="178"/>
      <c r="G36" s="185" t="str">
        <f>IFERROR(IF($C$7="4C",VLOOKUP('EUIt Sheet'!$C36,Lookups!$A$3:$W$116,6,FALSE),IF($C$7="5B",VLOOKUP('EUIt Sheet'!$C36,Lookups!$A$3:$W$116,7,FALSE),"")),"")</f>
        <v/>
      </c>
      <c r="H36" s="183" t="str">
        <f>IFERROR(IF(AND($E36&lt;=0,D36&gt;0),"enter hours",IF($E36&lt;=50,VLOOKUP('EUIt Sheet'!$C36,Lookups!$A$3:$W$116,8,FALSE),IF($E36&lt;=167,VLOOKUP('EUIt Sheet'!$C36,Lookups!$A$3:$W$116,9,FALSE),IF($E36=168,VLOOKUP('EUIt Sheet'!$C36,Lookups!$A$3:$W$116,10,FALSE),"")))),"")</f>
        <v/>
      </c>
      <c r="I36" s="186" t="str">
        <f t="shared" si="0"/>
        <v/>
      </c>
      <c r="J36" s="171" t="str">
        <f>IF($B36&lt;&gt;"",IF($C$2="Single Building",LEFT($G$4,7),Lookups!$AK36),"")</f>
        <v/>
      </c>
      <c r="K36" s="118" t="str">
        <f>IFERROR(VLOOKUP('EUIt Sheet'!$C36,Lookups!$A$3:$T$116,11,FALSE),"")</f>
        <v/>
      </c>
      <c r="L36" s="13" t="str">
        <f>IFERROR(VLOOKUP('EUIt Sheet'!$C36,Lookups!$A$3:$T$116,12,FALSE),"")</f>
        <v/>
      </c>
      <c r="M36" s="13" t="str">
        <f>IFERROR(VLOOKUP('EUIt Sheet'!$C36,Lookups!$A$3:$T$116,13,FALSE),"")</f>
        <v/>
      </c>
      <c r="N36" s="148">
        <f t="shared" si="1"/>
        <v>0</v>
      </c>
      <c r="O36" s="3">
        <f t="shared" si="2"/>
        <v>0</v>
      </c>
      <c r="P36" s="145"/>
    </row>
    <row r="37" spans="1:16" ht="16" x14ac:dyDescent="0.35">
      <c r="A37" s="192" t="str">
        <f t="shared" si="3"/>
        <v/>
      </c>
      <c r="B37" s="137"/>
      <c r="C37" s="140"/>
      <c r="D37" s="176"/>
      <c r="E37" s="177"/>
      <c r="F37" s="178"/>
      <c r="G37" s="185" t="str">
        <f>IFERROR(IF($C$7="4C",VLOOKUP('EUIt Sheet'!$C37,Lookups!$A$3:$W$116,6,FALSE),IF($C$7="5B",VLOOKUP('EUIt Sheet'!$C37,Lookups!$A$3:$W$116,7,FALSE),"")),"")</f>
        <v/>
      </c>
      <c r="H37" s="183" t="str">
        <f>IFERROR(IF(AND($E37&lt;=0,D37&gt;0),"enter hours",IF($E37&lt;=50,VLOOKUP('EUIt Sheet'!$C37,Lookups!$A$3:$W$116,8,FALSE),IF($E37&lt;=167,VLOOKUP('EUIt Sheet'!$C37,Lookups!$A$3:$W$116,9,FALSE),IF($E37=168,VLOOKUP('EUIt Sheet'!$C37,Lookups!$A$3:$W$116,10,FALSE),"")))),"")</f>
        <v/>
      </c>
      <c r="I37" s="186" t="str">
        <f t="shared" si="0"/>
        <v/>
      </c>
      <c r="J37" s="171" t="str">
        <f>IF($B37&lt;&gt;"",IF($C$2="Single Building",LEFT($G$4,7),Lookups!$AK37),"")</f>
        <v/>
      </c>
      <c r="K37" s="118" t="str">
        <f>IFERROR(VLOOKUP('EUIt Sheet'!$C37,Lookups!$A$3:$T$116,11,FALSE),"")</f>
        <v/>
      </c>
      <c r="L37" s="13" t="str">
        <f>IFERROR(VLOOKUP('EUIt Sheet'!$C37,Lookups!$A$3:$T$116,12,FALSE),"")</f>
        <v/>
      </c>
      <c r="M37" s="13" t="str">
        <f>IFERROR(VLOOKUP('EUIt Sheet'!$C37,Lookups!$A$3:$T$116,13,FALSE),"")</f>
        <v/>
      </c>
      <c r="N37" s="148">
        <f t="shared" si="1"/>
        <v>0</v>
      </c>
      <c r="O37" s="3">
        <f t="shared" si="2"/>
        <v>0</v>
      </c>
      <c r="P37" s="145"/>
    </row>
    <row r="38" spans="1:16" ht="16" x14ac:dyDescent="0.35">
      <c r="A38" s="192" t="str">
        <f t="shared" si="3"/>
        <v/>
      </c>
      <c r="B38" s="137"/>
      <c r="C38" s="140"/>
      <c r="D38" s="176"/>
      <c r="E38" s="177"/>
      <c r="F38" s="178"/>
      <c r="G38" s="185" t="str">
        <f>IFERROR(IF($C$7="4C",VLOOKUP('EUIt Sheet'!$C38,Lookups!$A$3:$W$116,6,FALSE),IF($C$7="5B",VLOOKUP('EUIt Sheet'!$C38,Lookups!$A$3:$W$116,7,FALSE),"")),"")</f>
        <v/>
      </c>
      <c r="H38" s="183" t="str">
        <f>IFERROR(IF(AND($E38&lt;=0,D38&gt;0),"enter hours",IF($E38&lt;=50,VLOOKUP('EUIt Sheet'!$C38,Lookups!$A$3:$W$116,8,FALSE),IF($E38&lt;=167,VLOOKUP('EUIt Sheet'!$C38,Lookups!$A$3:$W$116,9,FALSE),IF($E38=168,VLOOKUP('EUIt Sheet'!$C38,Lookups!$A$3:$W$116,10,FALSE),"")))),"")</f>
        <v/>
      </c>
      <c r="I38" s="186" t="str">
        <f t="shared" si="0"/>
        <v/>
      </c>
      <c r="J38" s="171" t="str">
        <f>IF($B38&lt;&gt;"",IF($C$2="Single Building",LEFT($G$4,7),Lookups!$AK38),"")</f>
        <v/>
      </c>
      <c r="K38" s="118" t="str">
        <f>IFERROR(VLOOKUP('EUIt Sheet'!$C38,Lookups!$A$3:$T$116,11,FALSE),"")</f>
        <v/>
      </c>
      <c r="L38" s="13" t="str">
        <f>IFERROR(VLOOKUP('EUIt Sheet'!$C38,Lookups!$A$3:$T$116,12,FALSE),"")</f>
        <v/>
      </c>
      <c r="M38" s="13" t="str">
        <f>IFERROR(VLOOKUP('EUIt Sheet'!$C38,Lookups!$A$3:$T$116,13,FALSE),"")</f>
        <v/>
      </c>
      <c r="N38" s="148">
        <f t="shared" si="1"/>
        <v>0</v>
      </c>
      <c r="O38" s="3">
        <f t="shared" si="2"/>
        <v>0</v>
      </c>
      <c r="P38" s="145"/>
    </row>
    <row r="39" spans="1:16" ht="16" x14ac:dyDescent="0.35">
      <c r="A39" s="192" t="str">
        <f t="shared" si="3"/>
        <v/>
      </c>
      <c r="B39" s="137"/>
      <c r="C39" s="140"/>
      <c r="D39" s="176"/>
      <c r="E39" s="177"/>
      <c r="F39" s="178"/>
      <c r="G39" s="185" t="str">
        <f>IFERROR(IF($C$7="4C",VLOOKUP('EUIt Sheet'!$C39,Lookups!$A$3:$W$116,6,FALSE),IF($C$7="5B",VLOOKUP('EUIt Sheet'!$C39,Lookups!$A$3:$W$116,7,FALSE),"")),"")</f>
        <v/>
      </c>
      <c r="H39" s="183" t="str">
        <f>IFERROR(IF(AND($E39&lt;=0,D39&gt;0),"enter hours",IF($E39&lt;=50,VLOOKUP('EUIt Sheet'!$C39,Lookups!$A$3:$W$116,8,FALSE),IF($E39&lt;=167,VLOOKUP('EUIt Sheet'!$C39,Lookups!$A$3:$W$116,9,FALSE),IF($E39=168,VLOOKUP('EUIt Sheet'!$C39,Lookups!$A$3:$W$116,10,FALSE),"")))),"")</f>
        <v/>
      </c>
      <c r="I39" s="186" t="str">
        <f t="shared" si="0"/>
        <v/>
      </c>
      <c r="J39" s="171" t="str">
        <f>IF($B39&lt;&gt;"",IF($C$2="Single Building",LEFT($G$4,7),Lookups!$AK39),"")</f>
        <v/>
      </c>
      <c r="K39" s="118" t="str">
        <f>IFERROR(VLOOKUP('EUIt Sheet'!$C39,Lookups!$A$3:$T$116,11,FALSE),"")</f>
        <v/>
      </c>
      <c r="L39" s="13" t="str">
        <f>IFERROR(VLOOKUP('EUIt Sheet'!$C39,Lookups!$A$3:$T$116,12,FALSE),"")</f>
        <v/>
      </c>
      <c r="M39" s="13" t="str">
        <f>IFERROR(VLOOKUP('EUIt Sheet'!$C39,Lookups!$A$3:$T$116,13,FALSE),"")</f>
        <v/>
      </c>
      <c r="N39" s="148">
        <f t="shared" si="1"/>
        <v>0</v>
      </c>
      <c r="O39" s="3">
        <f t="shared" si="2"/>
        <v>0</v>
      </c>
      <c r="P39" s="145"/>
    </row>
    <row r="40" spans="1:16" ht="16" x14ac:dyDescent="0.35">
      <c r="A40" s="192" t="str">
        <f t="shared" si="3"/>
        <v/>
      </c>
      <c r="B40" s="137"/>
      <c r="C40" s="140"/>
      <c r="D40" s="176"/>
      <c r="E40" s="177"/>
      <c r="F40" s="178"/>
      <c r="G40" s="185" t="str">
        <f>IFERROR(IF($C$7="4C",VLOOKUP('EUIt Sheet'!$C40,Lookups!$A$3:$W$116,6,FALSE),IF($C$7="5B",VLOOKUP('EUIt Sheet'!$C40,Lookups!$A$3:$W$116,7,FALSE),"")),"")</f>
        <v/>
      </c>
      <c r="H40" s="183" t="str">
        <f>IFERROR(IF(AND($E40&lt;=0,D40&gt;0),"enter hours",IF($E40&lt;=50,VLOOKUP('EUIt Sheet'!$C40,Lookups!$A$3:$W$116,8,FALSE),IF($E40&lt;=167,VLOOKUP('EUIt Sheet'!$C40,Lookups!$A$3:$W$116,9,FALSE),IF($E40=168,VLOOKUP('EUIt Sheet'!$C40,Lookups!$A$3:$W$116,10,FALSE),"")))),"")</f>
        <v/>
      </c>
      <c r="I40" s="186" t="str">
        <f t="shared" si="0"/>
        <v/>
      </c>
      <c r="J40" s="171" t="str">
        <f>IF($B40&lt;&gt;"",IF($C$2="Single Building",LEFT($G$4,7),Lookups!$AK40),"")</f>
        <v/>
      </c>
      <c r="K40" s="118" t="str">
        <f>IFERROR(VLOOKUP('EUIt Sheet'!$C40,Lookups!$A$3:$T$116,11,FALSE),"")</f>
        <v/>
      </c>
      <c r="L40" s="13" t="str">
        <f>IFERROR(VLOOKUP('EUIt Sheet'!$C40,Lookups!$A$3:$T$116,12,FALSE),"")</f>
        <v/>
      </c>
      <c r="M40" s="13" t="str">
        <f>IFERROR(VLOOKUP('EUIt Sheet'!$C40,Lookups!$A$3:$T$116,13,FALSE),"")</f>
        <v/>
      </c>
      <c r="N40" s="148">
        <f t="shared" si="1"/>
        <v>0</v>
      </c>
      <c r="O40" s="3">
        <f t="shared" si="2"/>
        <v>0</v>
      </c>
      <c r="P40" s="145"/>
    </row>
    <row r="41" spans="1:16" ht="16" x14ac:dyDescent="0.35">
      <c r="A41" s="192" t="str">
        <f t="shared" si="3"/>
        <v/>
      </c>
      <c r="B41" s="137"/>
      <c r="C41" s="140"/>
      <c r="D41" s="176"/>
      <c r="E41" s="177"/>
      <c r="F41" s="178"/>
      <c r="G41" s="185" t="str">
        <f>IFERROR(IF($C$7="4C",VLOOKUP('EUIt Sheet'!$C41,Lookups!$A$3:$W$116,6,FALSE),IF($C$7="5B",VLOOKUP('EUIt Sheet'!$C41,Lookups!$A$3:$W$116,7,FALSE),"")),"")</f>
        <v/>
      </c>
      <c r="H41" s="183" t="str">
        <f>IFERROR(IF(AND($E41&lt;=0,D41&gt;0),"enter hours",IF($E41&lt;=50,VLOOKUP('EUIt Sheet'!$C41,Lookups!$A$3:$W$116,8,FALSE),IF($E41&lt;=167,VLOOKUP('EUIt Sheet'!$C41,Lookups!$A$3:$W$116,9,FALSE),IF($E41=168,VLOOKUP('EUIt Sheet'!$C41,Lookups!$A$3:$W$116,10,FALSE),"")))),"")</f>
        <v/>
      </c>
      <c r="I41" s="186" t="str">
        <f t="shared" si="0"/>
        <v/>
      </c>
      <c r="J41" s="171" t="str">
        <f>IF($B41&lt;&gt;"",IF($C$2="Single Building",LEFT($G$4,7),Lookups!$AK41),"")</f>
        <v/>
      </c>
      <c r="K41" s="118" t="str">
        <f>IFERROR(VLOOKUP('EUIt Sheet'!$C41,Lookups!$A$3:$T$116,11,FALSE),"")</f>
        <v/>
      </c>
      <c r="L41" s="13" t="str">
        <f>IFERROR(VLOOKUP('EUIt Sheet'!$C41,Lookups!$A$3:$T$116,12,FALSE),"")</f>
        <v/>
      </c>
      <c r="M41" s="13" t="str">
        <f>IFERROR(VLOOKUP('EUIt Sheet'!$C41,Lookups!$A$3:$T$116,13,FALSE),"")</f>
        <v/>
      </c>
      <c r="N41" s="148">
        <f t="shared" si="1"/>
        <v>0</v>
      </c>
      <c r="O41" s="3">
        <f t="shared" si="2"/>
        <v>0</v>
      </c>
      <c r="P41" s="145"/>
    </row>
    <row r="42" spans="1:16" ht="16" x14ac:dyDescent="0.35">
      <c r="A42" s="192" t="str">
        <f t="shared" si="3"/>
        <v/>
      </c>
      <c r="B42" s="137"/>
      <c r="C42" s="140"/>
      <c r="D42" s="176"/>
      <c r="E42" s="177"/>
      <c r="F42" s="178"/>
      <c r="G42" s="185" t="str">
        <f>IFERROR(IF($C$7="4C",VLOOKUP('EUIt Sheet'!$C42,Lookups!$A$3:$W$116,6,FALSE),IF($C$7="5B",VLOOKUP('EUIt Sheet'!$C42,Lookups!$A$3:$W$116,7,FALSE),"")),"")</f>
        <v/>
      </c>
      <c r="H42" s="183" t="str">
        <f>IFERROR(IF(AND($E42&lt;=0,D42&gt;0),"enter hours",IF($E42&lt;=50,VLOOKUP('EUIt Sheet'!$C42,Lookups!$A$3:$W$116,8,FALSE),IF($E42&lt;=167,VLOOKUP('EUIt Sheet'!$C42,Lookups!$A$3:$W$116,9,FALSE),IF($E42=168,VLOOKUP('EUIt Sheet'!$C42,Lookups!$A$3:$W$116,10,FALSE),"")))),"")</f>
        <v/>
      </c>
      <c r="I42" s="186" t="str">
        <f t="shared" si="0"/>
        <v/>
      </c>
      <c r="J42" s="171" t="str">
        <f>IF($B42&lt;&gt;"",IF($C$2="Single Building",LEFT($G$4,7),Lookups!$AK42),"")</f>
        <v/>
      </c>
      <c r="K42" s="118" t="str">
        <f>IFERROR(VLOOKUP('EUIt Sheet'!$C42,Lookups!$A$3:$T$116,11,FALSE),"")</f>
        <v/>
      </c>
      <c r="L42" s="13" t="str">
        <f>IFERROR(VLOOKUP('EUIt Sheet'!$C42,Lookups!$A$3:$T$116,12,FALSE),"")</f>
        <v/>
      </c>
      <c r="M42" s="13" t="str">
        <f>IFERROR(VLOOKUP('EUIt Sheet'!$C42,Lookups!$A$3:$T$116,13,FALSE),"")</f>
        <v/>
      </c>
      <c r="N42" s="148">
        <f t="shared" si="1"/>
        <v>0</v>
      </c>
      <c r="O42" s="3">
        <f t="shared" si="2"/>
        <v>0</v>
      </c>
      <c r="P42" s="145"/>
    </row>
    <row r="43" spans="1:16" ht="16" x14ac:dyDescent="0.35">
      <c r="A43" s="192" t="str">
        <f t="shared" si="3"/>
        <v/>
      </c>
      <c r="B43" s="137"/>
      <c r="C43" s="140"/>
      <c r="D43" s="176"/>
      <c r="E43" s="177"/>
      <c r="F43" s="178"/>
      <c r="G43" s="185" t="str">
        <f>IFERROR(IF($C$7="4C",VLOOKUP('EUIt Sheet'!$C43,Lookups!$A$3:$W$116,6,FALSE),IF($C$7="5B",VLOOKUP('EUIt Sheet'!$C43,Lookups!$A$3:$W$116,7,FALSE),"")),"")</f>
        <v/>
      </c>
      <c r="H43" s="183" t="str">
        <f>IFERROR(IF(AND($E43&lt;=0,D43&gt;0),"enter hours",IF($E43&lt;=50,VLOOKUP('EUIt Sheet'!$C43,Lookups!$A$3:$W$116,8,FALSE),IF($E43&lt;=167,VLOOKUP('EUIt Sheet'!$C43,Lookups!$A$3:$W$116,9,FALSE),IF($E43=168,VLOOKUP('EUIt Sheet'!$C43,Lookups!$A$3:$W$116,10,FALSE),"")))),"")</f>
        <v/>
      </c>
      <c r="I43" s="186" t="str">
        <f t="shared" si="0"/>
        <v/>
      </c>
      <c r="J43" s="171" t="str">
        <f>IF($B43&lt;&gt;"",IF($C$2="Single Building",LEFT($G$4,7),Lookups!$AK43),"")</f>
        <v/>
      </c>
      <c r="K43" s="118" t="str">
        <f>IFERROR(VLOOKUP('EUIt Sheet'!$C43,Lookups!$A$3:$T$116,11,FALSE),"")</f>
        <v/>
      </c>
      <c r="L43" s="13" t="str">
        <f>IFERROR(VLOOKUP('EUIt Sheet'!$C43,Lookups!$A$3:$T$116,12,FALSE),"")</f>
        <v/>
      </c>
      <c r="M43" s="13" t="str">
        <f>IFERROR(VLOOKUP('EUIt Sheet'!$C43,Lookups!$A$3:$T$116,13,FALSE),"")</f>
        <v/>
      </c>
      <c r="N43" s="148">
        <f t="shared" si="1"/>
        <v>0</v>
      </c>
      <c r="O43" s="3">
        <f t="shared" si="2"/>
        <v>0</v>
      </c>
      <c r="P43" s="145"/>
    </row>
    <row r="44" spans="1:16" ht="16" x14ac:dyDescent="0.35">
      <c r="A44" s="192" t="str">
        <f t="shared" si="3"/>
        <v/>
      </c>
      <c r="B44" s="137"/>
      <c r="C44" s="140"/>
      <c r="D44" s="176"/>
      <c r="E44" s="177"/>
      <c r="F44" s="178"/>
      <c r="G44" s="185" t="str">
        <f>IFERROR(IF($C$7="4C",VLOOKUP('EUIt Sheet'!$C44,Lookups!$A$3:$W$116,6,FALSE),IF($C$7="5B",VLOOKUP('EUIt Sheet'!$C44,Lookups!$A$3:$W$116,7,FALSE),"")),"")</f>
        <v/>
      </c>
      <c r="H44" s="183" t="str">
        <f>IFERROR(IF(AND($E44&lt;=0,D44&gt;0),"enter hours",IF($E44&lt;=50,VLOOKUP('EUIt Sheet'!$C44,Lookups!$A$3:$W$116,8,FALSE),IF($E44&lt;=167,VLOOKUP('EUIt Sheet'!$C44,Lookups!$A$3:$W$116,9,FALSE),IF($E44=168,VLOOKUP('EUIt Sheet'!$C44,Lookups!$A$3:$W$116,10,FALSE),"")))),"")</f>
        <v/>
      </c>
      <c r="I44" s="186" t="str">
        <f t="shared" si="0"/>
        <v/>
      </c>
      <c r="J44" s="171" t="str">
        <f>IF($B44&lt;&gt;"",IF($C$2="Single Building",LEFT($G$4,7),Lookups!$AK44),"")</f>
        <v/>
      </c>
      <c r="K44" s="118" t="str">
        <f>IFERROR(VLOOKUP('EUIt Sheet'!$C44,Lookups!$A$3:$T$116,11,FALSE),"")</f>
        <v/>
      </c>
      <c r="L44" s="13" t="str">
        <f>IFERROR(VLOOKUP('EUIt Sheet'!$C44,Lookups!$A$3:$T$116,12,FALSE),"")</f>
        <v/>
      </c>
      <c r="M44" s="13" t="str">
        <f>IFERROR(VLOOKUP('EUIt Sheet'!$C44,Lookups!$A$3:$T$116,13,FALSE),"")</f>
        <v/>
      </c>
      <c r="N44" s="148">
        <f t="shared" si="1"/>
        <v>0</v>
      </c>
      <c r="O44" s="3">
        <f t="shared" si="2"/>
        <v>0</v>
      </c>
      <c r="P44" s="145"/>
    </row>
    <row r="45" spans="1:16" ht="16" x14ac:dyDescent="0.35">
      <c r="A45" s="192" t="str">
        <f t="shared" si="3"/>
        <v/>
      </c>
      <c r="B45" s="137"/>
      <c r="C45" s="140"/>
      <c r="D45" s="176"/>
      <c r="E45" s="177"/>
      <c r="F45" s="178"/>
      <c r="G45" s="185" t="str">
        <f>IFERROR(IF($C$7="4C",VLOOKUP('EUIt Sheet'!$C45,Lookups!$A$3:$W$116,6,FALSE),IF($C$7="5B",VLOOKUP('EUIt Sheet'!$C45,Lookups!$A$3:$W$116,7,FALSE),"")),"")</f>
        <v/>
      </c>
      <c r="H45" s="183" t="str">
        <f>IFERROR(IF(AND($E45&lt;=0,D45&gt;0),"enter hours",IF($E45&lt;=50,VLOOKUP('EUIt Sheet'!$C45,Lookups!$A$3:$W$116,8,FALSE),IF($E45&lt;=167,VLOOKUP('EUIt Sheet'!$C45,Lookups!$A$3:$W$116,9,FALSE),IF($E45=168,VLOOKUP('EUIt Sheet'!$C45,Lookups!$A$3:$W$116,10,FALSE),"")))),"")</f>
        <v/>
      </c>
      <c r="I45" s="186" t="str">
        <f t="shared" si="0"/>
        <v/>
      </c>
      <c r="J45" s="171" t="str">
        <f>IF($B45&lt;&gt;"",IF($C$2="Single Building",LEFT($G$4,7),Lookups!$AK45),"")</f>
        <v/>
      </c>
      <c r="K45" s="118" t="str">
        <f>IFERROR(VLOOKUP('EUIt Sheet'!$C45,Lookups!$A$3:$T$116,11,FALSE),"")</f>
        <v/>
      </c>
      <c r="L45" s="13" t="str">
        <f>IFERROR(VLOOKUP('EUIt Sheet'!$C45,Lookups!$A$3:$T$116,12,FALSE),"")</f>
        <v/>
      </c>
      <c r="M45" s="13" t="str">
        <f>IFERROR(VLOOKUP('EUIt Sheet'!$C45,Lookups!$A$3:$T$116,13,FALSE),"")</f>
        <v/>
      </c>
      <c r="N45" s="148">
        <f t="shared" si="1"/>
        <v>0</v>
      </c>
      <c r="O45" s="3">
        <f t="shared" si="2"/>
        <v>0</v>
      </c>
      <c r="P45" s="145"/>
    </row>
    <row r="46" spans="1:16" ht="16" x14ac:dyDescent="0.35">
      <c r="A46" s="192" t="str">
        <f t="shared" si="3"/>
        <v/>
      </c>
      <c r="B46" s="137"/>
      <c r="C46" s="140"/>
      <c r="D46" s="176"/>
      <c r="E46" s="177"/>
      <c r="F46" s="178"/>
      <c r="G46" s="185" t="str">
        <f>IFERROR(IF($C$7="4C",VLOOKUP('EUIt Sheet'!$C46,Lookups!$A$3:$W$116,6,FALSE),IF($C$7="5B",VLOOKUP('EUIt Sheet'!$C46,Lookups!$A$3:$W$116,7,FALSE),"")),"")</f>
        <v/>
      </c>
      <c r="H46" s="183" t="str">
        <f>IFERROR(IF(AND($E46&lt;=0,D46&gt;0),"enter hours",IF($E46&lt;=50,VLOOKUP('EUIt Sheet'!$C46,Lookups!$A$3:$W$116,8,FALSE),IF($E46&lt;=167,VLOOKUP('EUIt Sheet'!$C46,Lookups!$A$3:$W$116,9,FALSE),IF($E46=168,VLOOKUP('EUIt Sheet'!$C46,Lookups!$A$3:$W$116,10,FALSE),"")))),"")</f>
        <v/>
      </c>
      <c r="I46" s="186" t="str">
        <f t="shared" si="0"/>
        <v/>
      </c>
      <c r="J46" s="171" t="str">
        <f>IF($B46&lt;&gt;"",IF($C$2="Single Building",LEFT($G$4,7),Lookups!$AK46),"")</f>
        <v/>
      </c>
      <c r="K46" s="118" t="str">
        <f>IFERROR(VLOOKUP('EUIt Sheet'!$C46,Lookups!$A$3:$T$116,11,FALSE),"")</f>
        <v/>
      </c>
      <c r="L46" s="13" t="str">
        <f>IFERROR(VLOOKUP('EUIt Sheet'!$C46,Lookups!$A$3:$T$116,12,FALSE),"")</f>
        <v/>
      </c>
      <c r="M46" s="13" t="str">
        <f>IFERROR(VLOOKUP('EUIt Sheet'!$C46,Lookups!$A$3:$T$116,13,FALSE),"")</f>
        <v/>
      </c>
      <c r="N46" s="148">
        <f t="shared" si="1"/>
        <v>0</v>
      </c>
      <c r="O46" s="3">
        <f t="shared" si="2"/>
        <v>0</v>
      </c>
      <c r="P46" s="145"/>
    </row>
    <row r="47" spans="1:16" ht="16" x14ac:dyDescent="0.35">
      <c r="A47" s="192" t="str">
        <f t="shared" si="3"/>
        <v/>
      </c>
      <c r="B47" s="137"/>
      <c r="C47" s="140"/>
      <c r="D47" s="176"/>
      <c r="E47" s="177"/>
      <c r="F47" s="178"/>
      <c r="G47" s="185" t="str">
        <f>IFERROR(IF($C$7="4C",VLOOKUP('EUIt Sheet'!$C47,Lookups!$A$3:$W$116,6,FALSE),IF($C$7="5B",VLOOKUP('EUIt Sheet'!$C47,Lookups!$A$3:$W$116,7,FALSE),"")),"")</f>
        <v/>
      </c>
      <c r="H47" s="183" t="str">
        <f>IFERROR(IF(AND($E47&lt;=0,D47&gt;0),"enter hours",IF($E47&lt;=50,VLOOKUP('EUIt Sheet'!$C47,Lookups!$A$3:$W$116,8,FALSE),IF($E47&lt;=167,VLOOKUP('EUIt Sheet'!$C47,Lookups!$A$3:$W$116,9,FALSE),IF($E47=168,VLOOKUP('EUIt Sheet'!$C47,Lookups!$A$3:$W$116,10,FALSE),"")))),"")</f>
        <v/>
      </c>
      <c r="I47" s="186" t="str">
        <f t="shared" si="0"/>
        <v/>
      </c>
      <c r="J47" s="171" t="str">
        <f>IF($B47&lt;&gt;"",IF($C$2="Single Building",LEFT($G$4,7),Lookups!$AK47),"")</f>
        <v/>
      </c>
      <c r="K47" s="118" t="str">
        <f>IFERROR(VLOOKUP('EUIt Sheet'!$C47,Lookups!$A$3:$T$116,11,FALSE),"")</f>
        <v/>
      </c>
      <c r="L47" s="13" t="str">
        <f>IFERROR(VLOOKUP('EUIt Sheet'!$C47,Lookups!$A$3:$T$116,12,FALSE),"")</f>
        <v/>
      </c>
      <c r="M47" s="13" t="str">
        <f>IFERROR(VLOOKUP('EUIt Sheet'!$C47,Lookups!$A$3:$T$116,13,FALSE),"")</f>
        <v/>
      </c>
      <c r="N47" s="148">
        <f t="shared" si="1"/>
        <v>0</v>
      </c>
      <c r="O47" s="3">
        <f t="shared" si="2"/>
        <v>0</v>
      </c>
      <c r="P47" s="145"/>
    </row>
    <row r="48" spans="1:16" ht="16" x14ac:dyDescent="0.35">
      <c r="A48" s="192" t="str">
        <f t="shared" si="3"/>
        <v/>
      </c>
      <c r="B48" s="137"/>
      <c r="C48" s="140"/>
      <c r="D48" s="176"/>
      <c r="E48" s="177"/>
      <c r="F48" s="178"/>
      <c r="G48" s="185" t="str">
        <f>IFERROR(IF($C$7="4C",VLOOKUP('EUIt Sheet'!$C48,Lookups!$A$3:$W$116,6,FALSE),IF($C$7="5B",VLOOKUP('EUIt Sheet'!$C48,Lookups!$A$3:$W$116,7,FALSE),"")),"")</f>
        <v/>
      </c>
      <c r="H48" s="183" t="str">
        <f>IFERROR(IF(AND($E48&lt;=0,D48&gt;0),"enter hours",IF($E48&lt;=50,VLOOKUP('EUIt Sheet'!$C48,Lookups!$A$3:$W$116,8,FALSE),IF($E48&lt;=167,VLOOKUP('EUIt Sheet'!$C48,Lookups!$A$3:$W$116,9,FALSE),IF($E48=168,VLOOKUP('EUIt Sheet'!$C48,Lookups!$A$3:$W$116,10,FALSE),"")))),"")</f>
        <v/>
      </c>
      <c r="I48" s="186" t="str">
        <f t="shared" si="0"/>
        <v/>
      </c>
      <c r="J48" s="171" t="str">
        <f>IF($B48&lt;&gt;"",IF($C$2="Single Building",LEFT($G$4,7),Lookups!$AK48),"")</f>
        <v/>
      </c>
      <c r="K48" s="118" t="str">
        <f>IFERROR(VLOOKUP('EUIt Sheet'!$C48,Lookups!$A$3:$T$116,11,FALSE),"")</f>
        <v/>
      </c>
      <c r="L48" s="13" t="str">
        <f>IFERROR(VLOOKUP('EUIt Sheet'!$C48,Lookups!$A$3:$T$116,12,FALSE),"")</f>
        <v/>
      </c>
      <c r="M48" s="13" t="str">
        <f>IFERROR(VLOOKUP('EUIt Sheet'!$C48,Lookups!$A$3:$T$116,13,FALSE),"")</f>
        <v/>
      </c>
      <c r="N48" s="148">
        <f t="shared" si="1"/>
        <v>0</v>
      </c>
      <c r="O48" s="3">
        <f t="shared" si="2"/>
        <v>0</v>
      </c>
      <c r="P48" s="145"/>
    </row>
    <row r="49" spans="1:16" ht="16" x14ac:dyDescent="0.35">
      <c r="A49" s="192" t="str">
        <f t="shared" si="3"/>
        <v/>
      </c>
      <c r="B49" s="137"/>
      <c r="C49" s="140"/>
      <c r="D49" s="176"/>
      <c r="E49" s="177"/>
      <c r="F49" s="178"/>
      <c r="G49" s="185" t="str">
        <f>IFERROR(IF($C$7="4C",VLOOKUP('EUIt Sheet'!$C49,Lookups!$A$3:$W$116,6,FALSE),IF($C$7="5B",VLOOKUP('EUIt Sheet'!$C49,Lookups!$A$3:$W$116,7,FALSE),"")),"")</f>
        <v/>
      </c>
      <c r="H49" s="183" t="str">
        <f>IFERROR(IF(AND($E49&lt;=0,D49&gt;0),"enter hours",IF($E49&lt;=50,VLOOKUP('EUIt Sheet'!$C49,Lookups!$A$3:$W$116,8,FALSE),IF($E49&lt;=167,VLOOKUP('EUIt Sheet'!$C49,Lookups!$A$3:$W$116,9,FALSE),IF($E49=168,VLOOKUP('EUIt Sheet'!$C49,Lookups!$A$3:$W$116,10,FALSE),"")))),"")</f>
        <v/>
      </c>
      <c r="I49" s="186" t="str">
        <f t="shared" si="0"/>
        <v/>
      </c>
      <c r="J49" s="171" t="str">
        <f>IF($B49&lt;&gt;"",IF($C$2="Single Building",LEFT($G$4,7),Lookups!$AK49),"")</f>
        <v/>
      </c>
      <c r="K49" s="118" t="str">
        <f>IFERROR(VLOOKUP('EUIt Sheet'!$C49,Lookups!$A$3:$T$116,11,FALSE),"")</f>
        <v/>
      </c>
      <c r="L49" s="13" t="str">
        <f>IFERROR(VLOOKUP('EUIt Sheet'!$C49,Lookups!$A$3:$T$116,12,FALSE),"")</f>
        <v/>
      </c>
      <c r="M49" s="13" t="str">
        <f>IFERROR(VLOOKUP('EUIt Sheet'!$C49,Lookups!$A$3:$T$116,13,FALSE),"")</f>
        <v/>
      </c>
      <c r="N49" s="148">
        <f t="shared" si="1"/>
        <v>0</v>
      </c>
      <c r="O49" s="3">
        <f t="shared" si="2"/>
        <v>0</v>
      </c>
      <c r="P49" s="145"/>
    </row>
    <row r="50" spans="1:16" ht="16" x14ac:dyDescent="0.35">
      <c r="A50" s="192" t="str">
        <f t="shared" si="3"/>
        <v/>
      </c>
      <c r="B50" s="137"/>
      <c r="C50" s="140"/>
      <c r="D50" s="176"/>
      <c r="E50" s="177"/>
      <c r="F50" s="178"/>
      <c r="G50" s="185" t="str">
        <f>IFERROR(IF($C$7="4C",VLOOKUP('EUIt Sheet'!$C50,Lookups!$A$3:$W$116,6,FALSE),IF($C$7="5B",VLOOKUP('EUIt Sheet'!$C50,Lookups!$A$3:$W$116,7,FALSE),"")),"")</f>
        <v/>
      </c>
      <c r="H50" s="183" t="str">
        <f>IFERROR(IF(AND($E50&lt;=0,D50&gt;0),"enter hours",IF($E50&lt;=50,VLOOKUP('EUIt Sheet'!$C50,Lookups!$A$3:$W$116,8,FALSE),IF($E50&lt;=167,VLOOKUP('EUIt Sheet'!$C50,Lookups!$A$3:$W$116,9,FALSE),IF($E50=168,VLOOKUP('EUIt Sheet'!$C50,Lookups!$A$3:$W$116,10,FALSE),"")))),"")</f>
        <v/>
      </c>
      <c r="I50" s="186" t="str">
        <f t="shared" si="0"/>
        <v/>
      </c>
      <c r="J50" s="171" t="str">
        <f>IF($B50&lt;&gt;"",IF($C$2="Single Building",LEFT($G$4,7),Lookups!$AK50),"")</f>
        <v/>
      </c>
      <c r="K50" s="118" t="str">
        <f>IFERROR(VLOOKUP('EUIt Sheet'!$C50,Lookups!$A$3:$T$116,11,FALSE),"")</f>
        <v/>
      </c>
      <c r="L50" s="13" t="str">
        <f>IFERROR(VLOOKUP('EUIt Sheet'!$C50,Lookups!$A$3:$T$116,12,FALSE),"")</f>
        <v/>
      </c>
      <c r="M50" s="13" t="str">
        <f>IFERROR(VLOOKUP('EUIt Sheet'!$C50,Lookups!$A$3:$T$116,13,FALSE),"")</f>
        <v/>
      </c>
      <c r="N50" s="148">
        <f t="shared" si="1"/>
        <v>0</v>
      </c>
      <c r="O50" s="3">
        <f t="shared" si="2"/>
        <v>0</v>
      </c>
      <c r="P50" s="145"/>
    </row>
    <row r="51" spans="1:16" ht="16" x14ac:dyDescent="0.35">
      <c r="A51" s="192" t="str">
        <f t="shared" ref="A51:A70" si="4">IF(ISBLANK(B51),"",IF(B51=B50,A50,A50+1))</f>
        <v/>
      </c>
      <c r="B51" s="137"/>
      <c r="C51" s="140"/>
      <c r="D51" s="176"/>
      <c r="E51" s="177"/>
      <c r="F51" s="178"/>
      <c r="G51" s="185" t="str">
        <f>IFERROR(IF($C$7="4C",VLOOKUP('EUIt Sheet'!$C51,Lookups!$A$3:$W$116,6,FALSE),IF($C$7="5B",VLOOKUP('EUIt Sheet'!$C51,Lookups!$A$3:$W$116,7,FALSE),"")),"")</f>
        <v/>
      </c>
      <c r="H51" s="183" t="str">
        <f>IFERROR(IF(AND($E51&lt;=0,D51&gt;0),"enter hours",IF($E51&lt;=50,VLOOKUP('EUIt Sheet'!$C51,Lookups!$A$3:$W$116,8,FALSE),IF($E51&lt;=167,VLOOKUP('EUIt Sheet'!$C51,Lookups!$A$3:$W$116,9,FALSE),IF($E51=168,VLOOKUP('EUIt Sheet'!$C51,Lookups!$A$3:$W$116,10,FALSE),"")))),"")</f>
        <v/>
      </c>
      <c r="I51" s="186" t="str">
        <f t="shared" si="0"/>
        <v/>
      </c>
      <c r="J51" s="171" t="str">
        <f>IF($B51&lt;&gt;"",IF($C$2="Single Building",LEFT($G$4,7),Lookups!$AK51),"")</f>
        <v/>
      </c>
      <c r="K51" s="118" t="str">
        <f>IFERROR(VLOOKUP('EUIt Sheet'!$C51,Lookups!$A$3:$T$116,11,FALSE),"")</f>
        <v/>
      </c>
      <c r="L51" s="13" t="str">
        <f>IFERROR(VLOOKUP('EUIt Sheet'!$C51,Lookups!$A$3:$T$116,12,FALSE),"")</f>
        <v/>
      </c>
      <c r="M51" s="13" t="str">
        <f>IFERROR(VLOOKUP('EUIt Sheet'!$C51,Lookups!$A$3:$T$116,13,FALSE),"")</f>
        <v/>
      </c>
      <c r="N51" s="148">
        <f t="shared" si="1"/>
        <v>0</v>
      </c>
      <c r="O51" s="3">
        <f t="shared" si="2"/>
        <v>0</v>
      </c>
      <c r="P51" s="145"/>
    </row>
    <row r="52" spans="1:16" ht="16" x14ac:dyDescent="0.35">
      <c r="A52" s="192" t="str">
        <f t="shared" si="4"/>
        <v/>
      </c>
      <c r="B52" s="137"/>
      <c r="C52" s="140"/>
      <c r="D52" s="176"/>
      <c r="E52" s="177"/>
      <c r="F52" s="178"/>
      <c r="G52" s="185" t="str">
        <f>IFERROR(IF($C$7="4C",VLOOKUP('EUIt Sheet'!$C52,Lookups!$A$3:$W$116,6,FALSE),IF($C$7="5B",VLOOKUP('EUIt Sheet'!$C52,Lookups!$A$3:$W$116,7,FALSE),"")),"")</f>
        <v/>
      </c>
      <c r="H52" s="183" t="str">
        <f>IFERROR(IF(AND($E52&lt;=0,D52&gt;0),"enter hours",IF($E52&lt;=50,VLOOKUP('EUIt Sheet'!$C52,Lookups!$A$3:$W$116,8,FALSE),IF($E52&lt;=167,VLOOKUP('EUIt Sheet'!$C52,Lookups!$A$3:$W$116,9,FALSE),IF($E52=168,VLOOKUP('EUIt Sheet'!$C52,Lookups!$A$3:$W$116,10,FALSE),"")))),"")</f>
        <v/>
      </c>
      <c r="I52" s="186" t="str">
        <f t="shared" si="0"/>
        <v/>
      </c>
      <c r="J52" s="171" t="str">
        <f>IF($B52&lt;&gt;"",IF($C$2="Single Building",LEFT($G$4,7),Lookups!$AK52),"")</f>
        <v/>
      </c>
      <c r="K52" s="118" t="str">
        <f>IFERROR(VLOOKUP('EUIt Sheet'!$C52,Lookups!$A$3:$T$116,11,FALSE),"")</f>
        <v/>
      </c>
      <c r="L52" s="13" t="str">
        <f>IFERROR(VLOOKUP('EUIt Sheet'!$C52,Lookups!$A$3:$T$116,12,FALSE),"")</f>
        <v/>
      </c>
      <c r="M52" s="13" t="str">
        <f>IFERROR(VLOOKUP('EUIt Sheet'!$C52,Lookups!$A$3:$T$116,13,FALSE),"")</f>
        <v/>
      </c>
      <c r="N52" s="148">
        <f t="shared" si="1"/>
        <v>0</v>
      </c>
      <c r="O52" s="3">
        <f t="shared" si="2"/>
        <v>0</v>
      </c>
      <c r="P52" s="145"/>
    </row>
    <row r="53" spans="1:16" ht="16" x14ac:dyDescent="0.35">
      <c r="A53" s="192" t="str">
        <f t="shared" si="4"/>
        <v/>
      </c>
      <c r="B53" s="137"/>
      <c r="C53" s="140"/>
      <c r="D53" s="176"/>
      <c r="E53" s="177"/>
      <c r="F53" s="178"/>
      <c r="G53" s="185" t="str">
        <f>IFERROR(IF($C$7="4C",VLOOKUP('EUIt Sheet'!$C53,Lookups!$A$3:$W$116,6,FALSE),IF($C$7="5B",VLOOKUP('EUIt Sheet'!$C53,Lookups!$A$3:$W$116,7,FALSE),"")),"")</f>
        <v/>
      </c>
      <c r="H53" s="183" t="str">
        <f>IFERROR(IF(AND($E53&lt;=0,D53&gt;0),"enter hours",IF($E53&lt;=50,VLOOKUP('EUIt Sheet'!$C53,Lookups!$A$3:$W$116,8,FALSE),IF($E53&lt;=167,VLOOKUP('EUIt Sheet'!$C53,Lookups!$A$3:$W$116,9,FALSE),IF($E53=168,VLOOKUP('EUIt Sheet'!$C53,Lookups!$A$3:$W$116,10,FALSE),"")))),"")</f>
        <v/>
      </c>
      <c r="I53" s="186" t="str">
        <f t="shared" si="0"/>
        <v/>
      </c>
      <c r="J53" s="171" t="str">
        <f>IF($B53&lt;&gt;"",IF($C$2="Single Building",LEFT($G$4,7),Lookups!$AK53),"")</f>
        <v/>
      </c>
      <c r="K53" s="118" t="str">
        <f>IFERROR(VLOOKUP('EUIt Sheet'!$C53,Lookups!$A$3:$T$116,11,FALSE),"")</f>
        <v/>
      </c>
      <c r="L53" s="13" t="str">
        <f>IFERROR(VLOOKUP('EUIt Sheet'!$C53,Lookups!$A$3:$T$116,12,FALSE),"")</f>
        <v/>
      </c>
      <c r="M53" s="13" t="str">
        <f>IFERROR(VLOOKUP('EUIt Sheet'!$C53,Lookups!$A$3:$T$116,13,FALSE),"")</f>
        <v/>
      </c>
      <c r="N53" s="148">
        <f t="shared" si="1"/>
        <v>0</v>
      </c>
      <c r="O53" s="3">
        <f t="shared" si="2"/>
        <v>0</v>
      </c>
      <c r="P53" s="145"/>
    </row>
    <row r="54" spans="1:16" ht="16" x14ac:dyDescent="0.35">
      <c r="A54" s="192" t="str">
        <f t="shared" si="4"/>
        <v/>
      </c>
      <c r="B54" s="137"/>
      <c r="C54" s="140"/>
      <c r="D54" s="176"/>
      <c r="E54" s="177"/>
      <c r="F54" s="178"/>
      <c r="G54" s="185" t="str">
        <f>IFERROR(IF($C$7="4C",VLOOKUP('EUIt Sheet'!$C54,Lookups!$A$3:$W$116,6,FALSE),IF($C$7="5B",VLOOKUP('EUIt Sheet'!$C54,Lookups!$A$3:$W$116,7,FALSE),"")),"")</f>
        <v/>
      </c>
      <c r="H54" s="183" t="str">
        <f>IFERROR(IF(AND($E54&lt;=0,D54&gt;0),"enter hours",IF($E54&lt;=50,VLOOKUP('EUIt Sheet'!$C54,Lookups!$A$3:$W$116,8,FALSE),IF($E54&lt;=167,VLOOKUP('EUIt Sheet'!$C54,Lookups!$A$3:$W$116,9,FALSE),IF($E54=168,VLOOKUP('EUIt Sheet'!$C54,Lookups!$A$3:$W$116,10,FALSE),"")))),"")</f>
        <v/>
      </c>
      <c r="I54" s="186" t="str">
        <f t="shared" si="0"/>
        <v/>
      </c>
      <c r="J54" s="171" t="str">
        <f>IF($B54&lt;&gt;"",IF($C$2="Single Building",LEFT($G$4,7),Lookups!$AK54),"")</f>
        <v/>
      </c>
      <c r="K54" s="118" t="str">
        <f>IFERROR(VLOOKUP('EUIt Sheet'!$C54,Lookups!$A$3:$T$116,11,FALSE),"")</f>
        <v/>
      </c>
      <c r="L54" s="13" t="str">
        <f>IFERROR(VLOOKUP('EUIt Sheet'!$C54,Lookups!$A$3:$T$116,12,FALSE),"")</f>
        <v/>
      </c>
      <c r="M54" s="13" t="str">
        <f>IFERROR(VLOOKUP('EUIt Sheet'!$C54,Lookups!$A$3:$T$116,13,FALSE),"")</f>
        <v/>
      </c>
      <c r="N54" s="148">
        <f t="shared" si="1"/>
        <v>0</v>
      </c>
      <c r="O54" s="3">
        <f t="shared" si="2"/>
        <v>0</v>
      </c>
      <c r="P54" s="145"/>
    </row>
    <row r="55" spans="1:16" ht="16" x14ac:dyDescent="0.35">
      <c r="A55" s="192" t="str">
        <f t="shared" si="4"/>
        <v/>
      </c>
      <c r="B55" s="137"/>
      <c r="C55" s="140"/>
      <c r="D55" s="176"/>
      <c r="E55" s="177"/>
      <c r="F55" s="178"/>
      <c r="G55" s="185" t="str">
        <f>IFERROR(IF($C$7="4C",VLOOKUP('EUIt Sheet'!$C55,Lookups!$A$3:$W$116,6,FALSE),IF($C$7="5B",VLOOKUP('EUIt Sheet'!$C55,Lookups!$A$3:$W$116,7,FALSE),"")),"")</f>
        <v/>
      </c>
      <c r="H55" s="183" t="str">
        <f>IFERROR(IF(AND($E55&lt;=0,D55&gt;0),"enter hours",IF($E55&lt;=50,VLOOKUP('EUIt Sheet'!$C55,Lookups!$A$3:$W$116,8,FALSE),IF($E55&lt;=167,VLOOKUP('EUIt Sheet'!$C55,Lookups!$A$3:$W$116,9,FALSE),IF($E55=168,VLOOKUP('EUIt Sheet'!$C55,Lookups!$A$3:$W$116,10,FALSE),"")))),"")</f>
        <v/>
      </c>
      <c r="I55" s="186" t="str">
        <f t="shared" si="0"/>
        <v/>
      </c>
      <c r="J55" s="171" t="str">
        <f>IF($B55&lt;&gt;"",IF($C$2="Single Building",LEFT($G$4,7),Lookups!$AK55),"")</f>
        <v/>
      </c>
      <c r="K55" s="118" t="str">
        <f>IFERROR(VLOOKUP('EUIt Sheet'!$C55,Lookups!$A$3:$T$116,11,FALSE),"")</f>
        <v/>
      </c>
      <c r="L55" s="13" t="str">
        <f>IFERROR(VLOOKUP('EUIt Sheet'!$C55,Lookups!$A$3:$T$116,12,FALSE),"")</f>
        <v/>
      </c>
      <c r="M55" s="13" t="str">
        <f>IFERROR(VLOOKUP('EUIt Sheet'!$C55,Lookups!$A$3:$T$116,13,FALSE),"")</f>
        <v/>
      </c>
      <c r="N55" s="148">
        <f t="shared" si="1"/>
        <v>0</v>
      </c>
      <c r="O55" s="3">
        <f t="shared" si="2"/>
        <v>0</v>
      </c>
      <c r="P55" s="145"/>
    </row>
    <row r="56" spans="1:16" ht="16" x14ac:dyDescent="0.35">
      <c r="A56" s="192" t="str">
        <f t="shared" si="4"/>
        <v/>
      </c>
      <c r="B56" s="137"/>
      <c r="C56" s="140"/>
      <c r="D56" s="176"/>
      <c r="E56" s="177"/>
      <c r="F56" s="178"/>
      <c r="G56" s="185" t="str">
        <f>IFERROR(IF($C$7="4C",VLOOKUP('EUIt Sheet'!$C56,Lookups!$A$3:$W$116,6,FALSE),IF($C$7="5B",VLOOKUP('EUIt Sheet'!$C56,Lookups!$A$3:$W$116,7,FALSE),"")),"")</f>
        <v/>
      </c>
      <c r="H56" s="183" t="str">
        <f>IFERROR(IF(AND($E56&lt;=0,D56&gt;0),"enter hours",IF($E56&lt;=50,VLOOKUP('EUIt Sheet'!$C56,Lookups!$A$3:$W$116,8,FALSE),IF($E56&lt;=167,VLOOKUP('EUIt Sheet'!$C56,Lookups!$A$3:$W$116,9,FALSE),IF($E56=168,VLOOKUP('EUIt Sheet'!$C56,Lookups!$A$3:$W$116,10,FALSE),"")))),"")</f>
        <v/>
      </c>
      <c r="I56" s="186" t="str">
        <f t="shared" si="0"/>
        <v/>
      </c>
      <c r="J56" s="171" t="str">
        <f>IF($B56&lt;&gt;"",IF($C$2="Single Building",LEFT($G$4,7),Lookups!$AK56),"")</f>
        <v/>
      </c>
      <c r="K56" s="118" t="str">
        <f>IFERROR(VLOOKUP('EUIt Sheet'!$C56,Lookups!$A$3:$T$116,11,FALSE),"")</f>
        <v/>
      </c>
      <c r="L56" s="13" t="str">
        <f>IFERROR(VLOOKUP('EUIt Sheet'!$C56,Lookups!$A$3:$T$116,12,FALSE),"")</f>
        <v/>
      </c>
      <c r="M56" s="13" t="str">
        <f>IFERROR(VLOOKUP('EUIt Sheet'!$C56,Lookups!$A$3:$T$116,13,FALSE),"")</f>
        <v/>
      </c>
      <c r="N56" s="148">
        <f t="shared" si="1"/>
        <v>0</v>
      </c>
      <c r="O56" s="3">
        <f t="shared" si="2"/>
        <v>0</v>
      </c>
      <c r="P56" s="145"/>
    </row>
    <row r="57" spans="1:16" ht="16" x14ac:dyDescent="0.35">
      <c r="A57" s="192" t="str">
        <f t="shared" si="4"/>
        <v/>
      </c>
      <c r="B57" s="137"/>
      <c r="C57" s="140"/>
      <c r="D57" s="176"/>
      <c r="E57" s="177"/>
      <c r="F57" s="178"/>
      <c r="G57" s="185" t="str">
        <f>IFERROR(IF($C$7="4C",VLOOKUP('EUIt Sheet'!$C57,Lookups!$A$3:$W$116,6,FALSE),IF($C$7="5B",VLOOKUP('EUIt Sheet'!$C57,Lookups!$A$3:$W$116,7,FALSE),"")),"")</f>
        <v/>
      </c>
      <c r="H57" s="183" t="str">
        <f>IFERROR(IF(AND($E57&lt;=0,D57&gt;0),"enter hours",IF($E57&lt;=50,VLOOKUP('EUIt Sheet'!$C57,Lookups!$A$3:$W$116,8,FALSE),IF($E57&lt;=167,VLOOKUP('EUIt Sheet'!$C57,Lookups!$A$3:$W$116,9,FALSE),IF($E57=168,VLOOKUP('EUIt Sheet'!$C57,Lookups!$A$3:$W$116,10,FALSE),"")))),"")</f>
        <v/>
      </c>
      <c r="I57" s="186" t="str">
        <f t="shared" si="0"/>
        <v/>
      </c>
      <c r="J57" s="171" t="str">
        <f>IF($B57&lt;&gt;"",IF($C$2="Single Building",LEFT($G$4,7),Lookups!$AK57),"")</f>
        <v/>
      </c>
      <c r="K57" s="118" t="str">
        <f>IFERROR(VLOOKUP('EUIt Sheet'!$C57,Lookups!$A$3:$T$116,11,FALSE),"")</f>
        <v/>
      </c>
      <c r="L57" s="13" t="str">
        <f>IFERROR(VLOOKUP('EUIt Sheet'!$C57,Lookups!$A$3:$T$116,12,FALSE),"")</f>
        <v/>
      </c>
      <c r="M57" s="13" t="str">
        <f>IFERROR(VLOOKUP('EUIt Sheet'!$C57,Lookups!$A$3:$T$116,13,FALSE),"")</f>
        <v/>
      </c>
      <c r="N57" s="148">
        <f t="shared" si="1"/>
        <v>0</v>
      </c>
      <c r="O57" s="3">
        <f t="shared" si="2"/>
        <v>0</v>
      </c>
      <c r="P57" s="145"/>
    </row>
    <row r="58" spans="1:16" ht="16" x14ac:dyDescent="0.35">
      <c r="A58" s="192" t="str">
        <f t="shared" si="4"/>
        <v/>
      </c>
      <c r="B58" s="137"/>
      <c r="C58" s="140"/>
      <c r="D58" s="176"/>
      <c r="E58" s="177"/>
      <c r="F58" s="178"/>
      <c r="G58" s="185" t="str">
        <f>IFERROR(IF($C$7="4C",VLOOKUP('EUIt Sheet'!$C58,Lookups!$A$3:$W$116,6,FALSE),IF($C$7="5B",VLOOKUP('EUIt Sheet'!$C58,Lookups!$A$3:$W$116,7,FALSE),"")),"")</f>
        <v/>
      </c>
      <c r="H58" s="183" t="str">
        <f>IFERROR(IF(AND($E58&lt;=0,D58&gt;0),"enter hours",IF($E58&lt;=50,VLOOKUP('EUIt Sheet'!$C58,Lookups!$A$3:$W$116,8,FALSE),IF($E58&lt;=167,VLOOKUP('EUIt Sheet'!$C58,Lookups!$A$3:$W$116,9,FALSE),IF($E58=168,VLOOKUP('EUIt Sheet'!$C58,Lookups!$A$3:$W$116,10,FALSE),"")))),"")</f>
        <v/>
      </c>
      <c r="I58" s="186" t="str">
        <f t="shared" si="0"/>
        <v/>
      </c>
      <c r="J58" s="171" t="str">
        <f>IF($B58&lt;&gt;"",IF($C$2="Single Building",LEFT($G$4,7),Lookups!$AK58),"")</f>
        <v/>
      </c>
      <c r="K58" s="118" t="str">
        <f>IFERROR(VLOOKUP('EUIt Sheet'!$C58,Lookups!$A$3:$T$116,11,FALSE),"")</f>
        <v/>
      </c>
      <c r="L58" s="13" t="str">
        <f>IFERROR(VLOOKUP('EUIt Sheet'!$C58,Lookups!$A$3:$T$116,12,FALSE),"")</f>
        <v/>
      </c>
      <c r="M58" s="13" t="str">
        <f>IFERROR(VLOOKUP('EUIt Sheet'!$C58,Lookups!$A$3:$T$116,13,FALSE),"")</f>
        <v/>
      </c>
      <c r="N58" s="148">
        <f t="shared" si="1"/>
        <v>0</v>
      </c>
      <c r="O58" s="3">
        <f t="shared" si="2"/>
        <v>0</v>
      </c>
      <c r="P58" s="145"/>
    </row>
    <row r="59" spans="1:16" ht="16" x14ac:dyDescent="0.35">
      <c r="A59" s="192" t="str">
        <f t="shared" si="4"/>
        <v/>
      </c>
      <c r="B59" s="137"/>
      <c r="C59" s="140"/>
      <c r="D59" s="176"/>
      <c r="E59" s="177"/>
      <c r="F59" s="178"/>
      <c r="G59" s="185" t="str">
        <f>IFERROR(IF($C$7="4C",VLOOKUP('EUIt Sheet'!$C59,Lookups!$A$3:$W$116,6,FALSE),IF($C$7="5B",VLOOKUP('EUIt Sheet'!$C59,Lookups!$A$3:$W$116,7,FALSE),"")),"")</f>
        <v/>
      </c>
      <c r="H59" s="183" t="str">
        <f>IFERROR(IF(AND($E59&lt;=0,D59&gt;0),"enter hours",IF($E59&lt;=50,VLOOKUP('EUIt Sheet'!$C59,Lookups!$A$3:$W$116,8,FALSE),IF($E59&lt;=167,VLOOKUP('EUIt Sheet'!$C59,Lookups!$A$3:$W$116,9,FALSE),IF($E59=168,VLOOKUP('EUIt Sheet'!$C59,Lookups!$A$3:$W$116,10,FALSE),"")))),"")</f>
        <v/>
      </c>
      <c r="I59" s="186" t="str">
        <f t="shared" si="0"/>
        <v/>
      </c>
      <c r="J59" s="171" t="str">
        <f>IF($B59&lt;&gt;"",IF($C$2="Single Building",LEFT($G$4,7),Lookups!$AK59),"")</f>
        <v/>
      </c>
      <c r="K59" s="118" t="str">
        <f>IFERROR(VLOOKUP('EUIt Sheet'!$C59,Lookups!$A$3:$T$116,11,FALSE),"")</f>
        <v/>
      </c>
      <c r="L59" s="13" t="str">
        <f>IFERROR(VLOOKUP('EUIt Sheet'!$C59,Lookups!$A$3:$T$116,12,FALSE),"")</f>
        <v/>
      </c>
      <c r="M59" s="13" t="str">
        <f>IFERROR(VLOOKUP('EUIt Sheet'!$C59,Lookups!$A$3:$T$116,13,FALSE),"")</f>
        <v/>
      </c>
      <c r="N59" s="148">
        <f t="shared" si="1"/>
        <v>0</v>
      </c>
      <c r="O59" s="3">
        <f t="shared" si="2"/>
        <v>0</v>
      </c>
      <c r="P59" s="145"/>
    </row>
    <row r="60" spans="1:16" ht="16" x14ac:dyDescent="0.35">
      <c r="A60" s="192" t="str">
        <f t="shared" si="4"/>
        <v/>
      </c>
      <c r="B60" s="137"/>
      <c r="C60" s="140"/>
      <c r="D60" s="176"/>
      <c r="E60" s="177"/>
      <c r="F60" s="178"/>
      <c r="G60" s="185" t="str">
        <f>IFERROR(IF($C$7="4C",VLOOKUP('EUIt Sheet'!$C60,Lookups!$A$3:$W$116,6,FALSE),IF($C$7="5B",VLOOKUP('EUIt Sheet'!$C60,Lookups!$A$3:$W$116,7,FALSE),"")),"")</f>
        <v/>
      </c>
      <c r="H60" s="183" t="str">
        <f>IFERROR(IF(AND($E60&lt;=0,D60&gt;0),"enter hours",IF($E60&lt;=50,VLOOKUP('EUIt Sheet'!$C60,Lookups!$A$3:$W$116,8,FALSE),IF($E60&lt;=167,VLOOKUP('EUIt Sheet'!$C60,Lookups!$A$3:$W$116,9,FALSE),IF($E60=168,VLOOKUP('EUIt Sheet'!$C60,Lookups!$A$3:$W$116,10,FALSE),"")))),"")</f>
        <v/>
      </c>
      <c r="I60" s="186" t="str">
        <f t="shared" si="0"/>
        <v/>
      </c>
      <c r="J60" s="171" t="str">
        <f>IF($B60&lt;&gt;"",IF($C$2="Single Building",LEFT($G$4,7),Lookups!$AK60),"")</f>
        <v/>
      </c>
      <c r="K60" s="118" t="str">
        <f>IFERROR(VLOOKUP('EUIt Sheet'!$C60,Lookups!$A$3:$T$116,11,FALSE),"")</f>
        <v/>
      </c>
      <c r="L60" s="13" t="str">
        <f>IFERROR(VLOOKUP('EUIt Sheet'!$C60,Lookups!$A$3:$T$116,12,FALSE),"")</f>
        <v/>
      </c>
      <c r="M60" s="13" t="str">
        <f>IFERROR(VLOOKUP('EUIt Sheet'!$C60,Lookups!$A$3:$T$116,13,FALSE),"")</f>
        <v/>
      </c>
      <c r="N60" s="148">
        <f t="shared" si="1"/>
        <v>0</v>
      </c>
      <c r="O60" s="3">
        <f t="shared" si="2"/>
        <v>0</v>
      </c>
      <c r="P60" s="145"/>
    </row>
    <row r="61" spans="1:16" ht="16" x14ac:dyDescent="0.35">
      <c r="A61" s="192" t="str">
        <f t="shared" si="4"/>
        <v/>
      </c>
      <c r="B61" s="137"/>
      <c r="C61" s="140"/>
      <c r="D61" s="176"/>
      <c r="E61" s="177"/>
      <c r="F61" s="178"/>
      <c r="G61" s="185" t="str">
        <f>IFERROR(IF($C$7="4C",VLOOKUP('EUIt Sheet'!$C61,Lookups!$A$3:$W$116,6,FALSE),IF($C$7="5B",VLOOKUP('EUIt Sheet'!$C61,Lookups!$A$3:$W$116,7,FALSE),"")),"")</f>
        <v/>
      </c>
      <c r="H61" s="183" t="str">
        <f>IFERROR(IF(AND($E61&lt;=0,D61&gt;0),"enter hours",IF($E61&lt;=50,VLOOKUP('EUIt Sheet'!$C61,Lookups!$A$3:$W$116,8,FALSE),IF($E61&lt;=167,VLOOKUP('EUIt Sheet'!$C61,Lookups!$A$3:$W$116,9,FALSE),IF($E61=168,VLOOKUP('EUIt Sheet'!$C61,Lookups!$A$3:$W$116,10,FALSE),"")))),"")</f>
        <v/>
      </c>
      <c r="I61" s="186" t="str">
        <f t="shared" si="0"/>
        <v/>
      </c>
      <c r="J61" s="171" t="str">
        <f>IF($B61&lt;&gt;"",IF($C$2="Single Building",LEFT($G$4,7),Lookups!$AK61),"")</f>
        <v/>
      </c>
      <c r="K61" s="118" t="str">
        <f>IFERROR(VLOOKUP('EUIt Sheet'!$C61,Lookups!$A$3:$T$116,11,FALSE),"")</f>
        <v/>
      </c>
      <c r="L61" s="13" t="str">
        <f>IFERROR(VLOOKUP('EUIt Sheet'!$C61,Lookups!$A$3:$T$116,12,FALSE),"")</f>
        <v/>
      </c>
      <c r="M61" s="13" t="str">
        <f>IFERROR(VLOOKUP('EUIt Sheet'!$C61,Lookups!$A$3:$T$116,13,FALSE),"")</f>
        <v/>
      </c>
      <c r="N61" s="148">
        <f t="shared" si="1"/>
        <v>0</v>
      </c>
      <c r="O61" s="3">
        <f t="shared" si="2"/>
        <v>0</v>
      </c>
      <c r="P61" s="145"/>
    </row>
    <row r="62" spans="1:16" ht="16" x14ac:dyDescent="0.35">
      <c r="A62" s="192" t="str">
        <f t="shared" si="4"/>
        <v/>
      </c>
      <c r="B62" s="137"/>
      <c r="C62" s="140"/>
      <c r="D62" s="176"/>
      <c r="E62" s="177"/>
      <c r="F62" s="178"/>
      <c r="G62" s="185" t="str">
        <f>IFERROR(IF($C$7="4C",VLOOKUP('EUIt Sheet'!$C62,Lookups!$A$3:$W$116,6,FALSE),IF($C$7="5B",VLOOKUP('EUIt Sheet'!$C62,Lookups!$A$3:$W$116,7,FALSE),"")),"")</f>
        <v/>
      </c>
      <c r="H62" s="183" t="str">
        <f>IFERROR(IF(AND($E62&lt;=0,D62&gt;0),"enter hours",IF($E62&lt;=50,VLOOKUP('EUIt Sheet'!$C62,Lookups!$A$3:$W$116,8,FALSE),IF($E62&lt;=167,VLOOKUP('EUIt Sheet'!$C62,Lookups!$A$3:$W$116,9,FALSE),IF($E62=168,VLOOKUP('EUIt Sheet'!$C62,Lookups!$A$3:$W$116,10,FALSE),"")))),"")</f>
        <v/>
      </c>
      <c r="I62" s="186" t="str">
        <f t="shared" si="0"/>
        <v/>
      </c>
      <c r="J62" s="171" t="str">
        <f>IF($B62&lt;&gt;"",IF($C$2="Single Building",LEFT($G$4,7),Lookups!$AK62),"")</f>
        <v/>
      </c>
      <c r="K62" s="118" t="str">
        <f>IFERROR(VLOOKUP('EUIt Sheet'!$C62,Lookups!$A$3:$T$116,11,FALSE),"")</f>
        <v/>
      </c>
      <c r="L62" s="13" t="str">
        <f>IFERROR(VLOOKUP('EUIt Sheet'!$C62,Lookups!$A$3:$T$116,12,FALSE),"")</f>
        <v/>
      </c>
      <c r="M62" s="13" t="str">
        <f>IFERROR(VLOOKUP('EUIt Sheet'!$C62,Lookups!$A$3:$T$116,13,FALSE),"")</f>
        <v/>
      </c>
      <c r="N62" s="148">
        <f t="shared" si="1"/>
        <v>0</v>
      </c>
      <c r="O62" s="3">
        <f t="shared" si="2"/>
        <v>0</v>
      </c>
      <c r="P62" s="145"/>
    </row>
    <row r="63" spans="1:16" ht="16" x14ac:dyDescent="0.35">
      <c r="A63" s="192" t="str">
        <f t="shared" si="4"/>
        <v/>
      </c>
      <c r="B63" s="137"/>
      <c r="C63" s="140"/>
      <c r="D63" s="176"/>
      <c r="E63" s="177"/>
      <c r="F63" s="178"/>
      <c r="G63" s="185" t="str">
        <f>IFERROR(IF($C$7="4C",VLOOKUP('EUIt Sheet'!$C63,Lookups!$A$3:$W$116,6,FALSE),IF($C$7="5B",VLOOKUP('EUIt Sheet'!$C63,Lookups!$A$3:$W$116,7,FALSE),"")),"")</f>
        <v/>
      </c>
      <c r="H63" s="183" t="str">
        <f>IFERROR(IF(AND($E63&lt;=0,D63&gt;0),"enter hours",IF($E63&lt;=50,VLOOKUP('EUIt Sheet'!$C63,Lookups!$A$3:$W$116,8,FALSE),IF($E63&lt;=167,VLOOKUP('EUIt Sheet'!$C63,Lookups!$A$3:$W$116,9,FALSE),IF($E63=168,VLOOKUP('EUIt Sheet'!$C63,Lookups!$A$3:$W$116,10,FALSE),"")))),"")</f>
        <v/>
      </c>
      <c r="I63" s="186" t="str">
        <f t="shared" si="0"/>
        <v/>
      </c>
      <c r="J63" s="171" t="str">
        <f>IF($B63&lt;&gt;"",IF($C$2="Single Building",LEFT($G$4,7),Lookups!$AK63),"")</f>
        <v/>
      </c>
      <c r="K63" s="118" t="str">
        <f>IFERROR(VLOOKUP('EUIt Sheet'!$C63,Lookups!$A$3:$T$116,11,FALSE),"")</f>
        <v/>
      </c>
      <c r="L63" s="13" t="str">
        <f>IFERROR(VLOOKUP('EUIt Sheet'!$C63,Lookups!$A$3:$T$116,12,FALSE),"")</f>
        <v/>
      </c>
      <c r="M63" s="13" t="str">
        <f>IFERROR(VLOOKUP('EUIt Sheet'!$C63,Lookups!$A$3:$T$116,13,FALSE),"")</f>
        <v/>
      </c>
      <c r="N63" s="148">
        <f t="shared" si="1"/>
        <v>0</v>
      </c>
      <c r="O63" s="3">
        <f t="shared" si="2"/>
        <v>0</v>
      </c>
      <c r="P63" s="145"/>
    </row>
    <row r="64" spans="1:16" ht="16" x14ac:dyDescent="0.35">
      <c r="A64" s="192" t="str">
        <f t="shared" si="4"/>
        <v/>
      </c>
      <c r="B64" s="137"/>
      <c r="C64" s="140"/>
      <c r="D64" s="176"/>
      <c r="E64" s="177"/>
      <c r="F64" s="178"/>
      <c r="G64" s="185" t="str">
        <f>IFERROR(IF($C$7="4C",VLOOKUP('EUIt Sheet'!$C64,Lookups!$A$3:$W$116,6,FALSE),IF($C$7="5B",VLOOKUP('EUIt Sheet'!$C64,Lookups!$A$3:$W$116,7,FALSE),"")),"")</f>
        <v/>
      </c>
      <c r="H64" s="183" t="str">
        <f>IFERROR(IF(AND($E64&lt;=0,D64&gt;0),"enter hours",IF($E64&lt;=50,VLOOKUP('EUIt Sheet'!$C64,Lookups!$A$3:$W$116,8,FALSE),IF($E64&lt;=167,VLOOKUP('EUIt Sheet'!$C64,Lookups!$A$3:$W$116,9,FALSE),IF($E64=168,VLOOKUP('EUIt Sheet'!$C64,Lookups!$A$3:$W$116,10,FALSE),"")))),"")</f>
        <v/>
      </c>
      <c r="I64" s="186" t="str">
        <f t="shared" si="0"/>
        <v/>
      </c>
      <c r="J64" s="171" t="str">
        <f>IF($B64&lt;&gt;"",IF($C$2="Single Building",LEFT($G$4,7),Lookups!$AK64),"")</f>
        <v/>
      </c>
      <c r="K64" s="118" t="str">
        <f>IFERROR(VLOOKUP('EUIt Sheet'!$C64,Lookups!$A$3:$T$116,11,FALSE),"")</f>
        <v/>
      </c>
      <c r="L64" s="13" t="str">
        <f>IFERROR(VLOOKUP('EUIt Sheet'!$C64,Lookups!$A$3:$T$116,12,FALSE),"")</f>
        <v/>
      </c>
      <c r="M64" s="13" t="str">
        <f>IFERROR(VLOOKUP('EUIt Sheet'!$C64,Lookups!$A$3:$T$116,13,FALSE),"")</f>
        <v/>
      </c>
      <c r="N64" s="148">
        <f t="shared" si="1"/>
        <v>0</v>
      </c>
      <c r="O64" s="3">
        <f t="shared" si="2"/>
        <v>0</v>
      </c>
      <c r="P64" s="145"/>
    </row>
    <row r="65" spans="1:16" ht="16" x14ac:dyDescent="0.35">
      <c r="A65" s="192" t="str">
        <f t="shared" si="4"/>
        <v/>
      </c>
      <c r="B65" s="137"/>
      <c r="C65" s="140"/>
      <c r="D65" s="176"/>
      <c r="E65" s="177"/>
      <c r="F65" s="178"/>
      <c r="G65" s="185" t="str">
        <f>IFERROR(IF($C$7="4C",VLOOKUP('EUIt Sheet'!$C65,Lookups!$A$3:$W$116,6,FALSE),IF($C$7="5B",VLOOKUP('EUIt Sheet'!$C65,Lookups!$A$3:$W$116,7,FALSE),"")),"")</f>
        <v/>
      </c>
      <c r="H65" s="183" t="str">
        <f>IFERROR(IF(AND($E65&lt;=0,D65&gt;0),"enter hours",IF($E65&lt;=50,VLOOKUP('EUIt Sheet'!$C65,Lookups!$A$3:$W$116,8,FALSE),IF($E65&lt;=167,VLOOKUP('EUIt Sheet'!$C65,Lookups!$A$3:$W$116,9,FALSE),IF($E65=168,VLOOKUP('EUIt Sheet'!$C65,Lookups!$A$3:$W$116,10,FALSE),"")))),"")</f>
        <v/>
      </c>
      <c r="I65" s="186" t="str">
        <f t="shared" si="0"/>
        <v/>
      </c>
      <c r="J65" s="171" t="str">
        <f>IF($B65&lt;&gt;"",IF($C$2="Single Building",LEFT($G$4,7),Lookups!$AK65),"")</f>
        <v/>
      </c>
      <c r="K65" s="118" t="str">
        <f>IFERROR(VLOOKUP('EUIt Sheet'!$C65,Lookups!$A$3:$T$116,11,FALSE),"")</f>
        <v/>
      </c>
      <c r="L65" s="13" t="str">
        <f>IFERROR(VLOOKUP('EUIt Sheet'!$C65,Lookups!$A$3:$T$116,12,FALSE),"")</f>
        <v/>
      </c>
      <c r="M65" s="13" t="str">
        <f>IFERROR(VLOOKUP('EUIt Sheet'!$C65,Lookups!$A$3:$T$116,13,FALSE),"")</f>
        <v/>
      </c>
      <c r="N65" s="148">
        <f t="shared" si="1"/>
        <v>0</v>
      </c>
      <c r="O65" s="3">
        <f t="shared" si="2"/>
        <v>0</v>
      </c>
      <c r="P65" s="145"/>
    </row>
    <row r="66" spans="1:16" ht="16" x14ac:dyDescent="0.35">
      <c r="A66" s="192" t="str">
        <f t="shared" si="4"/>
        <v/>
      </c>
      <c r="B66" s="137"/>
      <c r="C66" s="140"/>
      <c r="D66" s="176"/>
      <c r="E66" s="177"/>
      <c r="F66" s="178"/>
      <c r="G66" s="185" t="str">
        <f>IFERROR(IF($C$7="4C",VLOOKUP('EUIt Sheet'!$C66,Lookups!$A$3:$W$116,6,FALSE),IF($C$7="5B",VLOOKUP('EUIt Sheet'!$C66,Lookups!$A$3:$W$116,7,FALSE),"")),"")</f>
        <v/>
      </c>
      <c r="H66" s="183" t="str">
        <f>IFERROR(IF(AND($E66&lt;=0,D66&gt;0),"enter hours",IF($E66&lt;=50,VLOOKUP('EUIt Sheet'!$C66,Lookups!$A$3:$W$116,8,FALSE),IF($E66&lt;=167,VLOOKUP('EUIt Sheet'!$C66,Lookups!$A$3:$W$116,9,FALSE),IF($E66=168,VLOOKUP('EUIt Sheet'!$C66,Lookups!$A$3:$W$116,10,FALSE),"")))),"")</f>
        <v/>
      </c>
      <c r="I66" s="186" t="str">
        <f t="shared" si="0"/>
        <v/>
      </c>
      <c r="J66" s="171" t="str">
        <f>IF($B66&lt;&gt;"",IF($C$2="Single Building",LEFT($G$4,7),Lookups!$AK66),"")</f>
        <v/>
      </c>
      <c r="K66" s="118" t="str">
        <f>IFERROR(VLOOKUP('EUIt Sheet'!$C66,Lookups!$A$3:$T$116,11,FALSE),"")</f>
        <v/>
      </c>
      <c r="L66" s="13" t="str">
        <f>IFERROR(VLOOKUP('EUIt Sheet'!$C66,Lookups!$A$3:$T$116,12,FALSE),"")</f>
        <v/>
      </c>
      <c r="M66" s="13" t="str">
        <f>IFERROR(VLOOKUP('EUIt Sheet'!$C66,Lookups!$A$3:$T$116,13,FALSE),"")</f>
        <v/>
      </c>
      <c r="N66" s="148">
        <f t="shared" si="1"/>
        <v>0</v>
      </c>
      <c r="O66" s="3">
        <f t="shared" si="2"/>
        <v>0</v>
      </c>
      <c r="P66" s="145"/>
    </row>
    <row r="67" spans="1:16" ht="16" x14ac:dyDescent="0.35">
      <c r="A67" s="192" t="str">
        <f t="shared" si="4"/>
        <v/>
      </c>
      <c r="B67" s="137"/>
      <c r="C67" s="140"/>
      <c r="D67" s="176"/>
      <c r="E67" s="177"/>
      <c r="F67" s="178"/>
      <c r="G67" s="185" t="str">
        <f>IFERROR(IF($C$7="4C",VLOOKUP('EUIt Sheet'!$C67,Lookups!$A$3:$W$116,6,FALSE),IF($C$7="5B",VLOOKUP('EUIt Sheet'!$C67,Lookups!$A$3:$W$116,7,FALSE),"")),"")</f>
        <v/>
      </c>
      <c r="H67" s="183" t="str">
        <f>IFERROR(IF(AND($E67&lt;=0,D67&gt;0),"enter hours",IF($E67&lt;=50,VLOOKUP('EUIt Sheet'!$C67,Lookups!$A$3:$W$116,8,FALSE),IF($E67&lt;=167,VLOOKUP('EUIt Sheet'!$C67,Lookups!$A$3:$W$116,9,FALSE),IF($E67=168,VLOOKUP('EUIt Sheet'!$C67,Lookups!$A$3:$W$116,10,FALSE),"")))),"")</f>
        <v/>
      </c>
      <c r="I67" s="186" t="str">
        <f t="shared" si="0"/>
        <v/>
      </c>
      <c r="J67" s="171" t="str">
        <f>IF($B67&lt;&gt;"",IF($C$2="Single Building",LEFT($G$4,7),Lookups!$AK67),"")</f>
        <v/>
      </c>
      <c r="K67" s="118" t="str">
        <f>IFERROR(VLOOKUP('EUIt Sheet'!$C67,Lookups!$A$3:$T$116,11,FALSE),"")</f>
        <v/>
      </c>
      <c r="L67" s="13" t="str">
        <f>IFERROR(VLOOKUP('EUIt Sheet'!$C67,Lookups!$A$3:$T$116,12,FALSE),"")</f>
        <v/>
      </c>
      <c r="M67" s="13" t="str">
        <f>IFERROR(VLOOKUP('EUIt Sheet'!$C67,Lookups!$A$3:$T$116,13,FALSE),"")</f>
        <v/>
      </c>
      <c r="N67" s="148">
        <f t="shared" si="1"/>
        <v>0</v>
      </c>
      <c r="O67" s="3">
        <f t="shared" si="2"/>
        <v>0</v>
      </c>
      <c r="P67" s="145"/>
    </row>
    <row r="68" spans="1:16" ht="16" x14ac:dyDescent="0.35">
      <c r="A68" s="192" t="str">
        <f t="shared" si="4"/>
        <v/>
      </c>
      <c r="B68" s="137"/>
      <c r="C68" s="140"/>
      <c r="D68" s="176"/>
      <c r="E68" s="177"/>
      <c r="F68" s="178"/>
      <c r="G68" s="185" t="str">
        <f>IFERROR(IF($C$7="4C",VLOOKUP('EUIt Sheet'!$C68,Lookups!$A$3:$W$116,6,FALSE),IF($C$7="5B",VLOOKUP('EUIt Sheet'!$C68,Lookups!$A$3:$W$116,7,FALSE),"")),"")</f>
        <v/>
      </c>
      <c r="H68" s="183" t="str">
        <f>IFERROR(IF(AND($E68&lt;=0,D68&gt;0),"enter hours",IF($E68&lt;=50,VLOOKUP('EUIt Sheet'!$C68,Lookups!$A$3:$W$116,8,FALSE),IF($E68&lt;=167,VLOOKUP('EUIt Sheet'!$C68,Lookups!$A$3:$W$116,9,FALSE),IF($E68=168,VLOOKUP('EUIt Sheet'!$C68,Lookups!$A$3:$W$116,10,FALSE),"")))),"")</f>
        <v/>
      </c>
      <c r="I68" s="186" t="str">
        <f t="shared" si="0"/>
        <v/>
      </c>
      <c r="J68" s="171" t="str">
        <f>IF($B68&lt;&gt;"",IF($C$2="Single Building",LEFT($G$4,7),Lookups!$AK68),"")</f>
        <v/>
      </c>
      <c r="K68" s="118" t="str">
        <f>IFERROR(VLOOKUP('EUIt Sheet'!$C68,Lookups!$A$3:$T$116,11,FALSE),"")</f>
        <v/>
      </c>
      <c r="L68" s="13" t="str">
        <f>IFERROR(VLOOKUP('EUIt Sheet'!$C68,Lookups!$A$3:$T$116,12,FALSE),"")</f>
        <v/>
      </c>
      <c r="M68" s="13" t="str">
        <f>IFERROR(VLOOKUP('EUIt Sheet'!$C68,Lookups!$A$3:$T$116,13,FALSE),"")</f>
        <v/>
      </c>
      <c r="N68" s="148">
        <f t="shared" si="1"/>
        <v>0</v>
      </c>
      <c r="O68" s="3">
        <f t="shared" si="2"/>
        <v>0</v>
      </c>
      <c r="P68" s="145"/>
    </row>
    <row r="69" spans="1:16" ht="16" x14ac:dyDescent="0.35">
      <c r="A69" s="192" t="str">
        <f t="shared" si="4"/>
        <v/>
      </c>
      <c r="B69" s="137"/>
      <c r="C69" s="140"/>
      <c r="D69" s="176"/>
      <c r="E69" s="177"/>
      <c r="F69" s="178"/>
      <c r="G69" s="185" t="str">
        <f>IFERROR(IF($C$7="4C",VLOOKUP('EUIt Sheet'!$C69,Lookups!$A$3:$W$116,6,FALSE),IF($C$7="5B",VLOOKUP('EUIt Sheet'!$C69,Lookups!$A$3:$W$116,7,FALSE),"")),"")</f>
        <v/>
      </c>
      <c r="H69" s="183" t="str">
        <f>IFERROR(IF(AND($E69&lt;=0,D69&gt;0),"enter hours",IF($E69&lt;=50,VLOOKUP('EUIt Sheet'!$C69,Lookups!$A$3:$W$116,8,FALSE),IF($E69&lt;=167,VLOOKUP('EUIt Sheet'!$C69,Lookups!$A$3:$W$116,9,FALSE),IF($E69=168,VLOOKUP('EUIt Sheet'!$C69,Lookups!$A$3:$W$116,10,FALSE),"")))),"")</f>
        <v/>
      </c>
      <c r="I69" s="186" t="str">
        <f t="shared" si="0"/>
        <v/>
      </c>
      <c r="J69" s="171" t="str">
        <f>IF($B69&lt;&gt;"",IF($C$2="Single Building",LEFT($G$4,7),Lookups!$AK69),"")</f>
        <v/>
      </c>
      <c r="K69" s="118" t="str">
        <f>IFERROR(VLOOKUP('EUIt Sheet'!$C69,Lookups!$A$3:$T$116,11,FALSE),"")</f>
        <v/>
      </c>
      <c r="L69" s="13" t="str">
        <f>IFERROR(VLOOKUP('EUIt Sheet'!$C69,Lookups!$A$3:$T$116,12,FALSE),"")</f>
        <v/>
      </c>
      <c r="M69" s="13" t="str">
        <f>IFERROR(VLOOKUP('EUIt Sheet'!$C69,Lookups!$A$3:$T$116,13,FALSE),"")</f>
        <v/>
      </c>
      <c r="N69" s="148">
        <f t="shared" si="1"/>
        <v>0</v>
      </c>
      <c r="O69" s="3">
        <f t="shared" si="2"/>
        <v>0</v>
      </c>
      <c r="P69" s="145"/>
    </row>
    <row r="70" spans="1:16" ht="16.5" thickBot="1" x14ac:dyDescent="0.4">
      <c r="A70" s="193" t="str">
        <f t="shared" si="4"/>
        <v/>
      </c>
      <c r="B70" s="138"/>
      <c r="C70" s="141"/>
      <c r="D70" s="179"/>
      <c r="E70" s="180"/>
      <c r="F70" s="181"/>
      <c r="G70" s="187" t="str">
        <f>IFERROR(IF($C$7="4C",VLOOKUP('EUIt Sheet'!$C70,Lookups!$A$3:$W$116,6,FALSE),IF($C$7="5B",VLOOKUP('EUIt Sheet'!$C70,Lookups!$A$3:$W$116,7,FALSE),"")),"")</f>
        <v/>
      </c>
      <c r="H70" s="188" t="str">
        <f>IFERROR(IF(AND($E70&lt;=0,D70&gt;0),"enter hours",IF($E70&lt;=50,VLOOKUP('EUIt Sheet'!$C70,Lookups!$A$3:$W$116,8,FALSE),IF($E70&lt;=167,VLOOKUP('EUIt Sheet'!$C70,Lookups!$A$3:$W$116,9,FALSE),IF($E70=168,VLOOKUP('EUIt Sheet'!$C70,Lookups!$A$3:$W$116,10,FALSE),"")))),"")</f>
        <v/>
      </c>
      <c r="I70" s="189" t="str">
        <f t="shared" si="0"/>
        <v/>
      </c>
      <c r="J70" s="172" t="str">
        <f>IF($B70&lt;&gt;"",IF($C$2="Single Building",LEFT($G$4,7),Lookups!$AK70),"")</f>
        <v/>
      </c>
      <c r="K70" s="118" t="str">
        <f>IFERROR(VLOOKUP('EUIt Sheet'!$C70,Lookups!$A$3:$T$116,11,FALSE),"")</f>
        <v/>
      </c>
      <c r="L70" s="13" t="str">
        <f>IFERROR(VLOOKUP('EUIt Sheet'!$C70,Lookups!$A$3:$T$116,12,FALSE),"")</f>
        <v/>
      </c>
      <c r="M70" s="13" t="str">
        <f>IFERROR(VLOOKUP('EUIt Sheet'!$C70,Lookups!$A$3:$T$116,13,FALSE),"")</f>
        <v/>
      </c>
      <c r="N70" s="148">
        <f t="shared" si="1"/>
        <v>0</v>
      </c>
      <c r="O70" s="3">
        <f t="shared" si="2"/>
        <v>0</v>
      </c>
      <c r="P70" s="145"/>
    </row>
  </sheetData>
  <sheetProtection algorithmName="SHA-512" hashValue="baAjjdzsTczks1TVltwYpf6J3SRzUj2abSKXlfoKZRCikwPBzm8cRBd0ie+TcptfzmZLcbK6WS0KLJE/uAoX0Q==" saltValue="KBrR9GDQBtJnfbRpFuf/8g==" spinCount="100000" sheet="1" objects="1" scenarios="1"/>
  <conditionalFormatting sqref="C7">
    <cfRule type="expression" dxfId="18" priority="7">
      <formula>AND($C$7="Enter County",$D$10&gt;0)</formula>
    </cfRule>
    <cfRule type="expression" dxfId="17" priority="16">
      <formula>$C$7&lt;&gt;"Enter County"</formula>
    </cfRule>
  </conditionalFormatting>
  <conditionalFormatting sqref="D6:E6">
    <cfRule type="expression" dxfId="16" priority="14">
      <formula>AND($K$6&gt;0)</formula>
    </cfRule>
  </conditionalFormatting>
  <conditionalFormatting sqref="E4">
    <cfRule type="expression" dxfId="15" priority="44">
      <formula>$K$4="Error"</formula>
    </cfRule>
  </conditionalFormatting>
  <conditionalFormatting sqref="E8 G8">
    <cfRule type="expression" dxfId="14" priority="49">
      <formula>$C$8&lt;&gt;$K$8</formula>
    </cfRule>
  </conditionalFormatting>
  <conditionalFormatting sqref="E5:F5">
    <cfRule type="expression" dxfId="13" priority="65">
      <formula>AND($K$5=0)</formula>
    </cfRule>
  </conditionalFormatting>
  <conditionalFormatting sqref="E7:J7">
    <cfRule type="expression" dxfId="12" priority="50">
      <formula>$K$7&gt;=0.5</formula>
    </cfRule>
  </conditionalFormatting>
  <conditionalFormatting sqref="F2 H2:I2">
    <cfRule type="expression" dxfId="11" priority="6">
      <formula>$C$2="Single Building"</formula>
    </cfRule>
    <cfRule type="expression" dxfId="10" priority="15">
      <formula>$C$2="Grouped Buildings"</formula>
    </cfRule>
  </conditionalFormatting>
  <conditionalFormatting sqref="F6">
    <cfRule type="expression" dxfId="9" priority="13">
      <formula>AND($K$6&gt;0)</formula>
    </cfRule>
  </conditionalFormatting>
  <conditionalFormatting sqref="G2 J2">
    <cfRule type="expression" dxfId="8" priority="1">
      <formula>AND($G$2="No",$J$2="No")</formula>
    </cfRule>
    <cfRule type="expression" dxfId="7" priority="12">
      <formula>$C$2="Grouped Buildings"</formula>
    </cfRule>
  </conditionalFormatting>
  <conditionalFormatting sqref="G4 K5:K6">
    <cfRule type="containsText" dxfId="6" priority="38" operator="containsText" text="Should">
      <formula>NOT(ISERROR(SEARCH("Should",G4)))</formula>
    </cfRule>
  </conditionalFormatting>
  <conditionalFormatting sqref="G6:J6">
    <cfRule type="expression" dxfId="5" priority="20">
      <formula>LEFT($G$6,5)="Error"</formula>
    </cfRule>
  </conditionalFormatting>
  <conditionalFormatting sqref="H10:H70">
    <cfRule type="expression" dxfId="4" priority="9">
      <formula>$H10="enter hours"</formula>
    </cfRule>
  </conditionalFormatting>
  <conditionalFormatting sqref="J1">
    <cfRule type="expression" dxfId="3" priority="67">
      <formula>AND(LEFT($G$4,6)="Tier 1",$J$1="QEM")</formula>
    </cfRule>
  </conditionalFormatting>
  <conditionalFormatting sqref="K5:K6">
    <cfRule type="containsText" dxfId="2" priority="40" operator="containsText" text="OK">
      <formula>NOT(ISERROR(SEARCH("OK",K5)))</formula>
    </cfRule>
  </conditionalFormatting>
  <dataValidations count="26">
    <dataValidation type="decimal" allowBlank="1" showInputMessage="1" showErrorMessage="1" error="Input can't be greater than 168 hours" prompt="168 or less" sqref="E10:E70" xr:uid="{7FB165D8-28AA-43CA-BD33-B76AF23E9833}">
      <formula1>0</formula1>
      <formula2>168</formula2>
    </dataValidation>
    <dataValidation allowBlank="1" showInputMessage="1" showErrorMessage="1" prompt="In general, gross floor area is measured from exterior surfaces of a building's enclosing walls, not including any parking garage area. See notes below for information specific to the floor area for each activity type. " sqref="L9" xr:uid="{162FB702-D455-420A-BA54-B5BFA5F06481}"/>
    <dataValidation allowBlank="1" showInputMessage="1" showErrorMessage="1" prompt="See Tier Determination Logic on Instructions tab" sqref="J9" xr:uid="{25E27BB8-168F-43D7-A58C-2E5C62F25DEC}"/>
    <dataValidation allowBlank="1" showInputMessage="1" showErrorMessage="1" prompt="Factors for 0-50, 51-167, or 168 weekly operating hours" sqref="H9" xr:uid="{1D4C2AD7-4FF2-45D3-AF13-436C353189FC}"/>
    <dataValidation allowBlank="1" showInputMessage="1" showErrorMessage="1" prompt="Energy Use Intensity Target for each building activity type" sqref="G9" xr:uid="{AA2A8BA0-86AA-4E42-B2B3-AE71ED02045B}"/>
    <dataValidation type="decimal" allowBlank="1" showInputMessage="1" showErrorMessage="1" error="Input can't be greater than 12 months" prompt="Input must be 12 or less, and total 12 for each Building Area Name" sqref="E10:E70" xr:uid="{4917D562-572D-48FA-BF0F-CA22B4C48432}">
      <formula1>0</formula1>
      <formula2>12</formula2>
    </dataValidation>
    <dataValidation allowBlank="1" showInputMessage="1" showErrorMessage="1" prompt="See Notes on GCFA in Col L" sqref="E10:E70" xr:uid="{941AEA6D-8A7A-438A-9300-E7EDFD03B133}"/>
    <dataValidation allowBlank="1" showInputMessage="1" showErrorMessage="1" prompt="Enter distinct names for each Area or Building, use same Area or Building Name in consecutive rows if building activity type changes over months of year" sqref="B9" xr:uid="{99781F16-3A1C-4C73-A392-C38F2BB46A0C}"/>
    <dataValidation allowBlank="1" showInputMessage="1" showErrorMessage="1" prompt="Choose from options in drop-down menu or type potential entries to narrow options, see descriptions to right" sqref="C9" xr:uid="{4D25AAE9-7691-4D6F-A85A-AB2111432301}"/>
    <dataValidation allowBlank="1" showInputMessage="1" showErrorMessage="1" prompt="Used for time-weighted averaging, must total twelve for each distinct area or building name" sqref="F9" xr:uid="{1C44EBF2-424A-494F-8D2A-89587DD424E0}"/>
    <dataValidation type="decimal" allowBlank="1" showInputMessage="1" showErrorMessage="1" error="Input can't be greater than 12 months" prompt="must be 12 or less, and total of 12 for each Area Name" sqref="F10:F70" xr:uid="{9EE976B2-CBB1-4EB1-A235-7E3BC04B4008}">
      <formula1>0</formula1>
      <formula2>12</formula2>
    </dataValidation>
    <dataValidation allowBlank="1" showInputMessage="1" showErrorMessage="1" prompt="Used for time-weighted averaging, months must total 12 for each Area Name" sqref="F9" xr:uid="{CDB9164A-5C96-424F-9BAA-5130E1D466EF}"/>
    <dataValidation allowBlank="1" showInputMessage="1" showErrorMessage="1" prompt="# entered automatically for each new Area or Building Name" sqref="A9" xr:uid="{4D4A9050-873F-4968-8FED-95FF1872BBFD}"/>
    <dataValidation type="decimal" allowBlank="1" showInputMessage="1" showErrorMessage="1" error="Input can't be greater than 168 hours" sqref="F10:F70" xr:uid="{38BAF182-F038-4902-8E3F-6986AF2FAA5A}">
      <formula1>0</formula1>
      <formula2>12</formula2>
    </dataValidation>
    <dataValidation type="decimal" allowBlank="1" showInputMessage="1" showErrorMessage="1" error="Input can't be greater than 12 months" prompt="Input must be 12 or less, and total of 12 for each Area Name" sqref="F10:F70" xr:uid="{717F3EF9-1B5E-483D-8137-67C86DB7673E}">
      <formula1>0</formula1>
      <formula2>12</formula2>
    </dataValidation>
    <dataValidation allowBlank="1" showInputMessage="1" showErrorMessage="1" prompt="12 or less, with total of 12 for each Area Name" sqref="F10:F70" xr:uid="{2D68F564-1F36-48BE-AD25-AB47F9960BE7}"/>
    <dataValidation type="list" allowBlank="1" showInputMessage="1" showErrorMessage="1" sqref="F5 J2 G2" xr:uid="{46DF0BED-8213-4B25-9EB9-B0EE6B5CE3F7}">
      <formula1>"Yes,No"</formula1>
    </dataValidation>
    <dataValidation allowBlank="1" showInputMessage="1" showErrorMessage="1" prompt="Used to find operating factor, see notes to right" sqref="E9:F9" xr:uid="{006700AC-51C4-4EC1-9A8C-BA8ADC63BFFD}"/>
    <dataValidation allowBlank="1" showInputMessage="1" showErrorMessage="1" prompt="Used to find weekly operating factor, see notes to right" sqref="E9:F9" xr:uid="{C5008E08-B761-4C1A-A79B-57CE0DB21968}"/>
    <dataValidation allowBlank="1" showInputMessage="1" showErrorMessage="1" prompt="Used for area weighted averaging, see notes to right" sqref="F9" xr:uid="{3AE4C177-71B5-49B0-AF3A-2831D4858625}"/>
    <dataValidation allowBlank="1" showInputMessage="1" showErrorMessage="1" prompt="Used for area-weighted averaging, see notes to right" sqref="D9" xr:uid="{E0A04422-6EA7-4718-A52A-90E70DB2673E}"/>
    <dataValidation allowBlank="1" showInputMessage="1" showErrorMessage="1" prompt="Area EUIt or Building EUIt = EUIt x Operating Factor" sqref="I9" xr:uid="{067F19AF-62C8-4D5D-9F2E-D00F298B86C5}"/>
    <dataValidation allowBlank="1" showInputMessage="1" showErrorMessage="1" prompt="See notes below for information specific to operating hours for each activity type." sqref="M9" xr:uid="{161EFFB5-EA94-425E-B415-AB4DCE829589}"/>
    <dataValidation allowBlank="1" showInputMessage="1" showErrorMessage="1" prompt="See notes below for information specific to the definition for each activity type." sqref="K9" xr:uid="{AB6AB44E-5298-49B2-9552-6B9C1D474C47}"/>
    <dataValidation type="list" allowBlank="1" showInputMessage="1" showErrorMessage="1" sqref="J1" xr:uid="{1A9C54E8-422B-46AB-809F-D14CD620E881}">
      <formula1>"QEM,QP,QEA"</formula1>
    </dataValidation>
    <dataValidation type="list" allowBlank="1" showInputMessage="1" showErrorMessage="1" sqref="C2" xr:uid="{053BB501-1846-4D97-886A-AEDCC4EB7562}">
      <formula1>"Single Building, Grouped Buildings"</formula1>
    </dataValidation>
  </dataValidations>
  <pageMargins left="0.7" right="0.7" top="0.75" bottom="0.75" header="0.3" footer="0.3"/>
  <pageSetup orientation="portrait" horizontalDpi="300" verticalDpi="300" r:id="rId1"/>
  <ignoredErrors>
    <ignoredError sqref="G7 K8" unlockedFormula="1"/>
  </ignoredErrors>
  <extLst>
    <ext xmlns:x14="http://schemas.microsoft.com/office/spreadsheetml/2009/9/main" uri="{CCE6A557-97BC-4b89-ADB6-D9C93CAAB3DF}">
      <x14:dataValidations xmlns:xm="http://schemas.microsoft.com/office/excel/2006/main" count="3">
        <x14:dataValidation type="list" allowBlank="1" showInputMessage="1" showErrorMessage="1" xr:uid="{A261CF7B-F2E8-4431-A75E-06DA72BC964A}">
          <x14:formula1>
            <xm:f>Lookups!$AE$3:$AE$38</xm:f>
          </x14:formula1>
          <xm:sqref>C6</xm:sqref>
        </x14:dataValidation>
        <x14:dataValidation type="list" allowBlank="1" showInputMessage="1" showErrorMessage="1" xr:uid="{4242AABF-7332-4829-9BD1-3BBC5E85578B}">
          <x14:formula1>
            <xm:f>Lookups!$A$3:$A$116</xm:f>
          </x14:formula1>
          <xm:sqref>C10:C70</xm:sqref>
        </x14:dataValidation>
        <x14:dataValidation type="list" allowBlank="1" showInputMessage="1" showErrorMessage="1" prompt="Drop down menu, see ESPM Building Activity Type Definitions in Col K" xr:uid="{6B8BAD68-1BE1-4287-97F2-52F0F0171D48}">
          <x14:formula1>
            <xm:f>Lookups!$A$3:$A$115</xm:f>
          </x14:formula1>
          <xm:sqref>E10:F70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31DB7-E0DB-48C7-B7BF-03F63E5AFE32}">
  <sheetPr codeName="Sheet3">
    <pageSetUpPr fitToPage="1"/>
  </sheetPr>
  <dimension ref="A1:BV666"/>
  <sheetViews>
    <sheetView workbookViewId="0"/>
  </sheetViews>
  <sheetFormatPr defaultColWidth="8.7265625" defaultRowHeight="14.5" x14ac:dyDescent="0.35"/>
  <cols>
    <col min="1" max="1" width="21.7265625" style="108" customWidth="1"/>
    <col min="2" max="2" width="5.54296875" style="108" customWidth="1"/>
    <col min="3" max="5" width="15.54296875" style="108" customWidth="1"/>
    <col min="6" max="10" width="10.54296875" style="108" customWidth="1"/>
    <col min="11" max="13" width="50.54296875" style="108" customWidth="1"/>
    <col min="14" max="14" width="16.453125" style="108" customWidth="1"/>
    <col min="15" max="20" width="8.7265625" style="108" customWidth="1"/>
    <col min="21" max="21" width="10.81640625" style="108" customWidth="1"/>
    <col min="22" max="25" width="8.7265625" style="108"/>
    <col min="26" max="26" width="36.81640625" style="108" customWidth="1"/>
    <col min="27" max="27" width="8.7265625" style="108"/>
    <col min="28" max="28" width="32.1796875" style="108" customWidth="1"/>
    <col min="29" max="34" width="8.7265625" style="108"/>
    <col min="35" max="35" width="10" style="108" bestFit="1" customWidth="1"/>
    <col min="36" max="36" width="13.54296875" style="108" customWidth="1"/>
    <col min="37" max="37" width="15.54296875" style="108" customWidth="1"/>
    <col min="38" max="38" width="8.7265625" style="108" customWidth="1"/>
    <col min="39" max="39" width="11" style="108" customWidth="1"/>
    <col min="40" max="40" width="55.26953125" style="108" bestFit="1" customWidth="1"/>
    <col min="41" max="41" width="29.81640625" style="108" bestFit="1" customWidth="1"/>
    <col min="42" max="42" width="21" style="108" bestFit="1" customWidth="1"/>
    <col min="43" max="43" width="7.453125" style="108" bestFit="1" customWidth="1"/>
    <col min="44" max="44" width="14.81640625" style="108" bestFit="1" customWidth="1"/>
    <col min="45" max="16384" width="8.7265625" style="108"/>
  </cols>
  <sheetData>
    <row r="1" spans="1:74" customFormat="1" ht="25" customHeight="1" x14ac:dyDescent="0.35">
      <c r="A1" s="16"/>
      <c r="B1" s="259" t="s">
        <v>135</v>
      </c>
      <c r="C1" s="259"/>
      <c r="D1" s="259"/>
      <c r="E1" s="259"/>
      <c r="F1" s="259" t="s">
        <v>136</v>
      </c>
      <c r="G1" s="259"/>
      <c r="H1" s="259" t="s">
        <v>137</v>
      </c>
      <c r="I1" s="259"/>
      <c r="J1" s="259"/>
      <c r="K1" s="16"/>
      <c r="L1" s="16"/>
      <c r="M1" s="16"/>
      <c r="N1" s="16"/>
      <c r="O1" s="16"/>
      <c r="P1" s="16"/>
      <c r="Q1" s="16"/>
      <c r="R1" s="16"/>
      <c r="S1" s="16"/>
      <c r="T1" s="16"/>
      <c r="U1" s="16"/>
      <c r="V1" s="16"/>
      <c r="W1" s="16"/>
      <c r="X1" s="16"/>
      <c r="Y1" s="16"/>
      <c r="Z1" s="16"/>
      <c r="AA1" s="16"/>
      <c r="AB1" s="16"/>
      <c r="AC1" s="16"/>
      <c r="AD1" s="16"/>
      <c r="AE1" s="16"/>
      <c r="AF1" s="16"/>
      <c r="AG1" s="16"/>
      <c r="AH1" s="260" t="s">
        <v>138</v>
      </c>
      <c r="AI1" s="16"/>
      <c r="AJ1" s="260" t="s">
        <v>139</v>
      </c>
      <c r="AK1" s="260" t="s">
        <v>140</v>
      </c>
      <c r="AL1" s="16"/>
      <c r="AM1" s="16"/>
      <c r="AN1" s="16"/>
      <c r="AO1" s="16"/>
      <c r="AP1" s="16"/>
      <c r="AQ1" s="16"/>
      <c r="AR1" s="16"/>
      <c r="AS1" s="16"/>
      <c r="AT1" s="16"/>
      <c r="AU1" s="17"/>
      <c r="AV1" s="17"/>
      <c r="AW1" s="17"/>
      <c r="AX1" s="17"/>
      <c r="AY1" s="17"/>
      <c r="AZ1" s="17"/>
      <c r="BA1" s="17"/>
      <c r="BB1" s="17"/>
      <c r="BC1" s="17"/>
      <c r="BD1" s="17"/>
      <c r="BE1" s="17"/>
      <c r="BF1" s="17"/>
      <c r="BG1" s="17"/>
      <c r="BH1" s="29"/>
      <c r="BI1" s="29"/>
      <c r="BJ1" s="108"/>
      <c r="BK1" s="108"/>
      <c r="BL1" s="108"/>
      <c r="BM1" s="108"/>
      <c r="BN1" s="108"/>
      <c r="BO1" s="108"/>
      <c r="BP1" s="108"/>
      <c r="BQ1" s="108"/>
      <c r="BR1" s="108"/>
      <c r="BS1" s="108"/>
      <c r="BT1" s="108"/>
      <c r="BU1" s="108"/>
      <c r="BV1" s="108"/>
    </row>
    <row r="2" spans="1:74" customFormat="1" ht="29" x14ac:dyDescent="0.35">
      <c r="A2" s="18" t="s">
        <v>141</v>
      </c>
      <c r="B2" s="168" t="s">
        <v>142</v>
      </c>
      <c r="C2" s="168" t="s">
        <v>143</v>
      </c>
      <c r="D2" s="168" t="s">
        <v>144</v>
      </c>
      <c r="E2" s="168" t="s">
        <v>145</v>
      </c>
      <c r="F2" s="18" t="s">
        <v>146</v>
      </c>
      <c r="G2" s="18" t="s">
        <v>147</v>
      </c>
      <c r="H2" s="18" t="s">
        <v>148</v>
      </c>
      <c r="I2" s="18" t="s">
        <v>149</v>
      </c>
      <c r="J2" s="18">
        <v>168</v>
      </c>
      <c r="K2" s="18" t="s">
        <v>150</v>
      </c>
      <c r="L2" s="18" t="s">
        <v>151</v>
      </c>
      <c r="M2" s="18" t="s">
        <v>152</v>
      </c>
      <c r="N2" s="18" t="s">
        <v>153</v>
      </c>
      <c r="O2" s="18" t="s">
        <v>154</v>
      </c>
      <c r="P2" s="18" t="s">
        <v>155</v>
      </c>
      <c r="Q2" s="18" t="s">
        <v>156</v>
      </c>
      <c r="R2" s="18" t="s">
        <v>157</v>
      </c>
      <c r="S2" s="18" t="s">
        <v>158</v>
      </c>
      <c r="T2" s="18" t="s">
        <v>159</v>
      </c>
      <c r="U2" s="18" t="s">
        <v>160</v>
      </c>
      <c r="V2" s="18" t="s">
        <v>161</v>
      </c>
      <c r="W2" s="18" t="s">
        <v>162</v>
      </c>
      <c r="X2" s="16"/>
      <c r="Y2" s="19" t="s">
        <v>163</v>
      </c>
      <c r="Z2" s="19"/>
      <c r="AA2" s="19" t="s">
        <v>164</v>
      </c>
      <c r="AB2" s="19"/>
      <c r="AC2" s="16"/>
      <c r="AD2" s="16"/>
      <c r="AE2" s="20" t="s">
        <v>165</v>
      </c>
      <c r="AF2" s="20" t="s">
        <v>166</v>
      </c>
      <c r="AG2" s="16"/>
      <c r="AH2" s="260"/>
      <c r="AI2" s="21"/>
      <c r="AJ2" s="260"/>
      <c r="AK2" s="260"/>
      <c r="AL2" s="21"/>
      <c r="AM2" s="22" t="s">
        <v>167</v>
      </c>
      <c r="AN2" s="22" t="s">
        <v>168</v>
      </c>
      <c r="AO2" s="22" t="s">
        <v>169</v>
      </c>
      <c r="AP2" s="21"/>
      <c r="AQ2" s="21"/>
      <c r="AR2" s="21"/>
      <c r="AS2" s="21"/>
      <c r="AT2" s="16"/>
      <c r="AU2" s="17"/>
      <c r="AV2" s="17"/>
      <c r="AW2" s="17"/>
      <c r="AX2" s="23" t="s">
        <v>170</v>
      </c>
      <c r="AY2" s="23" t="s">
        <v>171</v>
      </c>
      <c r="AZ2" s="17" t="s">
        <v>172</v>
      </c>
      <c r="BA2" s="17"/>
      <c r="BB2" s="17"/>
      <c r="BC2" s="17"/>
      <c r="BD2" s="17"/>
      <c r="BE2" s="17"/>
      <c r="BF2" s="17"/>
      <c r="BG2" s="17"/>
      <c r="BH2" s="29"/>
      <c r="BI2" s="29"/>
      <c r="BJ2" s="108"/>
      <c r="BK2" s="108"/>
      <c r="BL2" s="108"/>
      <c r="BM2" s="108"/>
      <c r="BN2" s="108"/>
      <c r="BO2" s="108"/>
      <c r="BP2" s="108"/>
      <c r="BQ2" s="108"/>
      <c r="BR2" s="108"/>
      <c r="BS2" s="108"/>
      <c r="BT2" s="108"/>
      <c r="BU2" s="108"/>
      <c r="BV2" s="108"/>
    </row>
    <row r="3" spans="1:74" customFormat="1" ht="100" customHeight="1" x14ac:dyDescent="0.35">
      <c r="A3" s="21" t="str">
        <f>B3&amp;": "&amp;C3&amp;" | "&amp;D3&amp;" | "&amp;E3</f>
        <v xml:space="preserve">1: Banking / financial services | Bank branch | </v>
      </c>
      <c r="B3" s="24">
        <v>1</v>
      </c>
      <c r="C3" s="25" t="s">
        <v>173</v>
      </c>
      <c r="D3" s="25" t="s">
        <v>174</v>
      </c>
      <c r="E3" s="25"/>
      <c r="F3" s="24">
        <v>53</v>
      </c>
      <c r="G3" s="24">
        <v>55</v>
      </c>
      <c r="H3" s="26">
        <v>0.8</v>
      </c>
      <c r="I3" s="26">
        <v>1</v>
      </c>
      <c r="J3" s="26">
        <v>1.5</v>
      </c>
      <c r="K3" s="27" t="s">
        <v>175</v>
      </c>
      <c r="L3" s="27" t="s">
        <v>176</v>
      </c>
      <c r="M3" s="27" t="str">
        <f>IFERROR(VLOOKUP($O3,Lookups!$AA$3:$AB$14,2,FALSE),"")&amp;" "&amp;IFERROR(VLOOKUP($P3,Lookups!$AA$3:$AB$14,2,FALSE),"")</f>
        <v xml:space="preserve">The weekly hours are the total number of hours per week where the majority of workers are present. If there are two or more shifts of workers, add the hours.  </v>
      </c>
      <c r="N3" s="16"/>
      <c r="O3" s="24">
        <v>3</v>
      </c>
      <c r="P3" s="24"/>
      <c r="Q3" s="24"/>
      <c r="R3" s="24"/>
      <c r="S3" s="24"/>
      <c r="T3" s="16"/>
      <c r="U3" s="24"/>
      <c r="V3" s="24"/>
      <c r="W3" s="24"/>
      <c r="X3" s="16"/>
      <c r="Y3" s="19" t="s">
        <v>177</v>
      </c>
      <c r="Z3" s="19" t="s">
        <v>178</v>
      </c>
      <c r="AA3" s="168" t="s">
        <v>179</v>
      </c>
      <c r="AB3" s="19" t="s">
        <v>180</v>
      </c>
      <c r="AC3" s="16"/>
      <c r="AD3" s="16"/>
      <c r="AE3" s="24" t="s">
        <v>181</v>
      </c>
      <c r="AF3" s="24" t="s">
        <v>182</v>
      </c>
      <c r="AG3" s="16"/>
      <c r="AH3" s="169">
        <f>'EUIt Sheet'!C2</f>
        <v>0</v>
      </c>
      <c r="AI3" s="169" t="s">
        <v>183</v>
      </c>
      <c r="AJ3" s="24" t="str">
        <f>IF(AND(SUM(AI7:AI8)&lt;35000,AI7&lt;20000),"Not Covered",IF(AND(SUM(AI7:AI8)&gt;=35000,AI8&gt;=AI7,AI7&gt;=20000),"Special Tier 2",IF(AND(SUM(AI7:AI8)&gt;=35000,AI8&gt;=15000,AI7&lt;20000),"Special Tier 2",IF(AND(AI7&gt;=20000,AI7&lt;35000,AI7&gt;AI8),"Tier 2",IF(AND(AI7&gt;=35000,AI7&gt;AI8),"Tier 1","Void")))))</f>
        <v>Not Covered</v>
      </c>
      <c r="AK3" s="24">
        <f>IF(AH3="Single Building",SUM(AI7:AI8),MAX(AL10:AL70))</f>
        <v>0</v>
      </c>
      <c r="AL3" s="24"/>
      <c r="AM3" s="24" t="str">
        <f>IF(AH3="Single Building",AJ3,AJ4)</f>
        <v>N/A</v>
      </c>
      <c r="AN3" s="24" t="str">
        <f>IF(AJ3="Tier 1",IF(AK3&gt;=AQ11,AO11,IF(AK3&gt;=AQ10,AO10,IF(AK3&gt;=AQ9,AO9,IF(AK3&gt;=AQ12,AO12,"n/a")))),IF(AJ3="Special Tier 2",AO13,IF(AJ3="Tier 2",AO12,"--")))</f>
        <v>--</v>
      </c>
      <c r="AO3" s="28" t="str">
        <f>IF(AJ3="Tier 1",IF(AK3&gt;=AQ11,AR11,IF(AK3&gt;=AQ10,AR10,IF(AK3&gt;=AQ9,AR9,IF(AK3&gt;=AQ12,AR12,"n/a")))),IF(AJ3="Special Tier 2",AR13,IF(AJ3="Tier 2",AR12,"--")))</f>
        <v>--</v>
      </c>
      <c r="AP3" s="21"/>
      <c r="AQ3" s="21"/>
      <c r="AR3" s="21"/>
      <c r="AS3" s="21"/>
      <c r="AT3" s="16"/>
      <c r="AU3" s="17"/>
      <c r="AV3" s="17"/>
      <c r="AW3" s="17"/>
      <c r="AX3" s="29">
        <v>35000</v>
      </c>
      <c r="AY3" s="16">
        <v>0</v>
      </c>
      <c r="AZ3" s="17">
        <f t="shared" ref="AZ3:AZ9" si="0">SUM(AX3:AY3)</f>
        <v>35000</v>
      </c>
      <c r="BA3" s="17"/>
      <c r="BB3" s="17"/>
      <c r="BC3" s="17"/>
      <c r="BD3" s="17"/>
      <c r="BE3" s="17"/>
      <c r="BF3" s="17"/>
      <c r="BG3" s="17"/>
      <c r="BH3" s="29"/>
      <c r="BI3" s="29"/>
      <c r="BJ3" s="108"/>
      <c r="BK3" s="108"/>
      <c r="BL3" s="108"/>
      <c r="BM3" s="108"/>
      <c r="BN3" s="108"/>
      <c r="BO3" s="108"/>
      <c r="BP3" s="108"/>
      <c r="BQ3" s="108"/>
      <c r="BR3" s="108"/>
      <c r="BS3" s="108"/>
      <c r="BT3" s="108"/>
      <c r="BU3" s="108"/>
      <c r="BV3" s="108"/>
    </row>
    <row r="4" spans="1:74" customFormat="1" ht="100" customHeight="1" x14ac:dyDescent="0.35">
      <c r="A4" s="21" t="str">
        <f t="shared" ref="A4:A67" si="1">B4&amp;": "&amp;C4&amp;" | "&amp;D4&amp;" | "&amp;E4</f>
        <v xml:space="preserve">2: Banking / financial services | Financial office | </v>
      </c>
      <c r="B4" s="24">
        <v>2</v>
      </c>
      <c r="C4" s="25" t="s">
        <v>173</v>
      </c>
      <c r="D4" s="25" t="s">
        <v>184</v>
      </c>
      <c r="E4" s="25"/>
      <c r="F4" s="24">
        <v>53</v>
      </c>
      <c r="G4" s="24">
        <v>55</v>
      </c>
      <c r="H4" s="26">
        <v>0.8</v>
      </c>
      <c r="I4" s="26">
        <v>1</v>
      </c>
      <c r="J4" s="26">
        <v>1.5</v>
      </c>
      <c r="K4" s="27" t="s">
        <v>185</v>
      </c>
      <c r="L4" s="27" t="s">
        <v>186</v>
      </c>
      <c r="M4" s="27" t="str">
        <f>IFERROR(VLOOKUP($O4,Lookups!$AA$3:$AB$14,2,FALSE),"")&amp;" "&amp;IFERROR(VLOOKUP($P4,Lookups!$AA$3:$AB$14,2,FALSE),"")</f>
        <v xml:space="preserve">The weekly hours are the total number of hours per week where the majority of workers are present. If there are two or more shifts of workers, add the hours.  </v>
      </c>
      <c r="N4" s="16"/>
      <c r="O4" s="24">
        <v>3</v>
      </c>
      <c r="P4" s="24"/>
      <c r="Q4" s="24"/>
      <c r="R4" s="24"/>
      <c r="S4" s="24"/>
      <c r="T4" s="16"/>
      <c r="U4" s="24"/>
      <c r="V4" s="24"/>
      <c r="W4" s="24"/>
      <c r="X4" s="16"/>
      <c r="Y4" s="169">
        <v>1</v>
      </c>
      <c r="Z4" s="30" t="s">
        <v>187</v>
      </c>
      <c r="AA4" s="169">
        <v>1</v>
      </c>
      <c r="AB4" s="30" t="s">
        <v>188</v>
      </c>
      <c r="AC4" s="16"/>
      <c r="AD4" s="16"/>
      <c r="AE4" s="24" t="s">
        <v>189</v>
      </c>
      <c r="AF4" s="24" t="s">
        <v>190</v>
      </c>
      <c r="AG4" s="16"/>
      <c r="AH4" s="24"/>
      <c r="AI4" s="31"/>
      <c r="AJ4" s="24" t="str">
        <f>IFERROR(VLOOKUP("Special Tier 2",AK10:AK70,1,FALSE),IFERROR(VLOOKUP("Tier 1",AK10:AK70,1,FALSE),IFERROR(VLOOKUP("Tier 2",AK10:AK70,1,FALSE),"N/A")))</f>
        <v>N/A</v>
      </c>
      <c r="AK4" s="16"/>
      <c r="AL4" s="16"/>
      <c r="AM4" s="24"/>
      <c r="AN4" s="24"/>
      <c r="AO4" s="28"/>
      <c r="AP4" s="21"/>
      <c r="AQ4" s="21"/>
      <c r="AR4" s="21"/>
      <c r="AS4" s="21"/>
      <c r="AT4" s="16"/>
      <c r="AU4" s="17"/>
      <c r="AV4" s="17"/>
      <c r="AW4" s="17"/>
      <c r="AX4" s="29">
        <v>15000</v>
      </c>
      <c r="AY4" s="16">
        <v>20000</v>
      </c>
      <c r="AZ4" s="17">
        <f t="shared" si="0"/>
        <v>35000</v>
      </c>
      <c r="BA4" s="17"/>
      <c r="BB4" s="17"/>
      <c r="BC4" s="17"/>
      <c r="BD4" s="17"/>
      <c r="BE4" s="17"/>
      <c r="BF4" s="17"/>
      <c r="BG4" s="17"/>
      <c r="BH4" s="29"/>
      <c r="BI4" s="29"/>
      <c r="BJ4" s="108"/>
      <c r="BK4" s="108"/>
      <c r="BL4" s="108"/>
      <c r="BM4" s="108"/>
      <c r="BN4" s="108"/>
      <c r="BO4" s="108"/>
      <c r="BP4" s="108"/>
      <c r="BQ4" s="108"/>
      <c r="BR4" s="108"/>
      <c r="BS4" s="108"/>
      <c r="BT4" s="108"/>
      <c r="BU4" s="108"/>
      <c r="BV4" s="108"/>
    </row>
    <row r="5" spans="1:74" customFormat="1" ht="100" customHeight="1" x14ac:dyDescent="0.35">
      <c r="A5" s="21" t="str">
        <f t="shared" si="1"/>
        <v xml:space="preserve">3: Education | Adult education | </v>
      </c>
      <c r="B5" s="24">
        <v>3</v>
      </c>
      <c r="C5" s="25" t="s">
        <v>191</v>
      </c>
      <c r="D5" s="25" t="s">
        <v>192</v>
      </c>
      <c r="E5" s="25"/>
      <c r="F5" s="24">
        <v>48</v>
      </c>
      <c r="G5" s="24">
        <v>49</v>
      </c>
      <c r="H5" s="26">
        <v>0.9</v>
      </c>
      <c r="I5" s="26">
        <v>1.1000000000000001</v>
      </c>
      <c r="J5" s="26">
        <v>1.9</v>
      </c>
      <c r="K5" s="27" t="s">
        <v>193</v>
      </c>
      <c r="L5" s="27" t="s">
        <v>194</v>
      </c>
      <c r="M5" s="27" t="str">
        <f>IFERROR(VLOOKUP($O5,Lookups!$AA$3:$AB$14,2,FALSE),"")&amp;" "&amp;IFERROR(VLOOKUP($P5,Lookups!$AA$3:$AB$14,2,FALSE),"")</f>
        <v xml:space="preserve">The weekly hours are the hours that the majority of the building is open to serve the public. </v>
      </c>
      <c r="N5" s="16"/>
      <c r="O5" s="24">
        <v>4</v>
      </c>
      <c r="P5" s="24"/>
      <c r="Q5" s="24">
        <v>11</v>
      </c>
      <c r="R5" s="24">
        <v>8</v>
      </c>
      <c r="S5" s="24">
        <v>9</v>
      </c>
      <c r="T5" s="24">
        <v>10</v>
      </c>
      <c r="U5" s="24" t="s">
        <v>160</v>
      </c>
      <c r="V5" s="24"/>
      <c r="W5" s="24"/>
      <c r="X5" s="16"/>
      <c r="Y5" s="169">
        <v>2</v>
      </c>
      <c r="Z5" s="30" t="s">
        <v>195</v>
      </c>
      <c r="AA5" s="169">
        <v>2</v>
      </c>
      <c r="AB5" s="30" t="s">
        <v>196</v>
      </c>
      <c r="AC5" s="16"/>
      <c r="AD5" s="16"/>
      <c r="AE5" s="24" t="s">
        <v>197</v>
      </c>
      <c r="AF5" s="24" t="s">
        <v>190</v>
      </c>
      <c r="AG5" s="16"/>
      <c r="AH5" s="24"/>
      <c r="AI5" s="32"/>
      <c r="AJ5" s="16"/>
      <c r="AK5" s="16"/>
      <c r="AL5" s="16"/>
      <c r="AM5" s="21"/>
      <c r="AN5" s="21"/>
      <c r="AO5" s="21"/>
      <c r="AP5" s="21"/>
      <c r="AQ5" s="21"/>
      <c r="AR5" s="21"/>
      <c r="AS5" s="21"/>
      <c r="AT5" s="16"/>
      <c r="AU5" s="17"/>
      <c r="AV5" s="17"/>
      <c r="AW5" s="17"/>
      <c r="AX5" s="29"/>
      <c r="AY5" s="16"/>
      <c r="AZ5" s="17">
        <f t="shared" si="0"/>
        <v>0</v>
      </c>
      <c r="BA5" s="17"/>
      <c r="BB5" s="17"/>
      <c r="BC5" s="17"/>
      <c r="BD5" s="17"/>
      <c r="BE5" s="17"/>
      <c r="BF5" s="17"/>
      <c r="BG5" s="17"/>
      <c r="BH5" s="29"/>
      <c r="BI5" s="29"/>
      <c r="BJ5" s="108"/>
      <c r="BK5" s="108"/>
      <c r="BL5" s="108"/>
      <c r="BM5" s="108"/>
      <c r="BN5" s="108"/>
      <c r="BO5" s="108"/>
      <c r="BP5" s="108"/>
      <c r="BQ5" s="108"/>
      <c r="BR5" s="108"/>
      <c r="BS5" s="108"/>
      <c r="BT5" s="108"/>
      <c r="BU5" s="108"/>
      <c r="BV5" s="108"/>
    </row>
    <row r="6" spans="1:74" customFormat="1" ht="100" customHeight="1" x14ac:dyDescent="0.35">
      <c r="A6" s="21" t="str">
        <f t="shared" si="1"/>
        <v xml:space="preserve">4: Education | College / university | </v>
      </c>
      <c r="B6" s="24">
        <v>4</v>
      </c>
      <c r="C6" s="25" t="s">
        <v>191</v>
      </c>
      <c r="D6" s="25" t="s">
        <v>198</v>
      </c>
      <c r="E6" s="25"/>
      <c r="F6" s="24">
        <v>79</v>
      </c>
      <c r="G6" s="24">
        <v>79</v>
      </c>
      <c r="H6" s="26">
        <v>0.9</v>
      </c>
      <c r="I6" s="26">
        <v>1.1000000000000001</v>
      </c>
      <c r="J6" s="26">
        <v>1.9</v>
      </c>
      <c r="K6" s="27" t="s">
        <v>199</v>
      </c>
      <c r="L6" s="27" t="s">
        <v>200</v>
      </c>
      <c r="M6" s="27" t="str">
        <f>IFERROR(VLOOKUP($O6,Lookups!$AA$3:$AB$14,2,FALSE),"")&amp;" "&amp;IFERROR(VLOOKUP($P6,Lookups!$AA$3:$AB$14,2,FALSE),"")</f>
        <v xml:space="preserve">The weekly hours are the hours that the majority of the building is open to serve the public. </v>
      </c>
      <c r="N6" s="16"/>
      <c r="O6" s="24">
        <v>4</v>
      </c>
      <c r="P6" s="24"/>
      <c r="Q6" s="24">
        <v>10</v>
      </c>
      <c r="R6" s="24">
        <v>8</v>
      </c>
      <c r="S6" s="24">
        <v>9</v>
      </c>
      <c r="T6" s="24">
        <v>10</v>
      </c>
      <c r="U6" s="24" t="s">
        <v>160</v>
      </c>
      <c r="V6" s="24"/>
      <c r="W6" s="24"/>
      <c r="X6" s="16"/>
      <c r="Y6" s="169">
        <v>3</v>
      </c>
      <c r="Z6" s="30" t="s">
        <v>201</v>
      </c>
      <c r="AA6" s="169">
        <v>3</v>
      </c>
      <c r="AB6" s="30" t="s">
        <v>202</v>
      </c>
      <c r="AC6" s="16"/>
      <c r="AD6" s="16"/>
      <c r="AE6" s="24" t="s">
        <v>203</v>
      </c>
      <c r="AF6" s="24" t="s">
        <v>190</v>
      </c>
      <c r="AG6" s="16"/>
      <c r="AH6" s="16"/>
      <c r="AI6" s="169"/>
      <c r="AJ6" s="30"/>
      <c r="AK6" s="30"/>
      <c r="AL6" s="30"/>
      <c r="AM6" s="16"/>
      <c r="AN6" s="21"/>
      <c r="AO6" s="21"/>
      <c r="AP6" s="21"/>
      <c r="AQ6" s="21"/>
      <c r="AR6" s="21"/>
      <c r="AS6" s="21"/>
      <c r="AT6" s="16"/>
      <c r="AU6" s="17"/>
      <c r="AV6" s="17"/>
      <c r="AW6" s="17"/>
      <c r="AX6" s="29"/>
      <c r="AY6" s="16"/>
      <c r="AZ6" s="17">
        <f t="shared" si="0"/>
        <v>0</v>
      </c>
      <c r="BA6" s="17"/>
      <c r="BB6" s="17"/>
      <c r="BC6" s="17"/>
      <c r="BD6" s="17"/>
      <c r="BE6" s="17"/>
      <c r="BF6" s="17"/>
      <c r="BG6" s="17"/>
      <c r="BH6" s="29"/>
      <c r="BI6" s="29"/>
      <c r="BJ6" s="108"/>
      <c r="BK6" s="108"/>
      <c r="BL6" s="108"/>
      <c r="BM6" s="108"/>
      <c r="BN6" s="108"/>
      <c r="BO6" s="108"/>
      <c r="BP6" s="108"/>
      <c r="BQ6" s="108"/>
      <c r="BR6" s="108"/>
      <c r="BS6" s="108"/>
      <c r="BT6" s="108"/>
      <c r="BU6" s="108"/>
      <c r="BV6" s="108"/>
    </row>
    <row r="7" spans="1:74" customFormat="1" ht="100" customHeight="1" x14ac:dyDescent="0.35">
      <c r="A7" s="21" t="str">
        <f t="shared" si="1"/>
        <v>5: Education | K-12 school | Elementary / middle school</v>
      </c>
      <c r="B7" s="24">
        <v>5</v>
      </c>
      <c r="C7" s="25" t="s">
        <v>191</v>
      </c>
      <c r="D7" s="25" t="s">
        <v>204</v>
      </c>
      <c r="E7" s="25" t="s">
        <v>205</v>
      </c>
      <c r="F7" s="24">
        <v>39</v>
      </c>
      <c r="G7" s="24">
        <v>40</v>
      </c>
      <c r="H7" s="26">
        <v>0.9</v>
      </c>
      <c r="I7" s="26">
        <v>1.1000000000000001</v>
      </c>
      <c r="J7" s="26">
        <v>1.9</v>
      </c>
      <c r="K7" s="27" t="s">
        <v>206</v>
      </c>
      <c r="L7" s="27" t="s">
        <v>207</v>
      </c>
      <c r="M7" s="27" t="str">
        <f>IFERROR(VLOOKUP($O7,Lookups!$AA$3:$AB$14,2,FALSE),"")&amp;" "&amp;IFERROR(VLOOKUP($P7,Lookups!$AA$3:$AB$14,2,FALSE),"")</f>
        <v xml:space="preserve">The weekly hours are the hours that the majority of the building is open to serve the public. </v>
      </c>
      <c r="N7" s="16"/>
      <c r="O7" s="24">
        <v>4</v>
      </c>
      <c r="P7" s="24"/>
      <c r="Q7" s="24">
        <v>10</v>
      </c>
      <c r="R7" s="24">
        <v>9</v>
      </c>
      <c r="S7" s="24">
        <v>10</v>
      </c>
      <c r="T7" s="16"/>
      <c r="U7" s="24" t="s">
        <v>160</v>
      </c>
      <c r="V7" s="24"/>
      <c r="W7" s="24"/>
      <c r="X7" s="16"/>
      <c r="Y7" s="169">
        <v>4</v>
      </c>
      <c r="Z7" s="30" t="s">
        <v>208</v>
      </c>
      <c r="AA7" s="169">
        <v>4</v>
      </c>
      <c r="AB7" s="30" t="s">
        <v>209</v>
      </c>
      <c r="AC7" s="16"/>
      <c r="AD7" s="16"/>
      <c r="AE7" s="24" t="s">
        <v>210</v>
      </c>
      <c r="AF7" s="24" t="s">
        <v>190</v>
      </c>
      <c r="AG7" s="16"/>
      <c r="AH7" s="16"/>
      <c r="AI7" s="33">
        <f>SUM(IF($AI$10="Regular",'EUIt Sheet'!$D$10*'EUIt Sheet'!$F$10,0),IF($AI$11="Regular",'EUIt Sheet'!$D$11*'EUIt Sheet'!$F$11,0),IF($AI$12="Regular",'EUIt Sheet'!$D$12*'EUIt Sheet'!$F$12,0),IF($AI$13="Regular",'EUIt Sheet'!$D$13*'EUIt Sheet'!$F$13,0),IF($AI$14="Regular",'EUIt Sheet'!$D$14*'EUIt Sheet'!$F$14,0),IF($AI$15="Regular",'EUIt Sheet'!$D$15*'EUIt Sheet'!$F$15,0),IF($AI$16="Regular",'EUIt Sheet'!$D$16*'EUIt Sheet'!$F$16,0),IF($AI$17="Regular",'EUIt Sheet'!$D$17*'EUIt Sheet'!$F$17,0),IF($AI$18="Regular",'EUIt Sheet'!$D$18*'EUIt Sheet'!$F$18,0),IF($AI$19="Regular",'EUIt Sheet'!$D$19*'EUIt Sheet'!$F$19,0),IF($AI$20="Regular",'EUIt Sheet'!$D$20*'EUIt Sheet'!$F$20,0),IF($AI$21="Regular",'EUIt Sheet'!$D$21*'EUIt Sheet'!$F$21,0),IF($AI$22="Regular",'EUIt Sheet'!$D$22*'EUIt Sheet'!$F$22,0),IF($AI$23="Regular",'EUIt Sheet'!$D$23*'EUIt Sheet'!$F$23,0),IF($AI$24="Regular",'EUIt Sheet'!$D$24*'EUIt Sheet'!$F$24,0),IF($AI$25="Regular",'EUIt Sheet'!$D$25*'EUIt Sheet'!$F$25,0),IF($AI$26="Regular",'EUIt Sheet'!$D$26*'EUIt Sheet'!$F$26,0),IF($AI$27="Regular",'EUIt Sheet'!$D$27*'EUIt Sheet'!$F$27,0),IF($AI$28="Regular",'EUIt Sheet'!$D$28*'EUIt Sheet'!$F$28,0),IF($AI$28="Regular",'EUIt Sheet'!$D$29*'EUIt Sheet'!$F$29,0),IF($AI$28="Regular",'EUIt Sheet'!$D$30*'EUIt Sheet'!$F$30,0),IF($AI$28="Regular",'EUIt Sheet'!$D$31*'EUIt Sheet'!$F$31,0),IF($AI$28="Regular",'EUIt Sheet'!$D$32*'EUIt Sheet'!$F$32,0),IF($AI$28="Regular",'EUIt Sheet'!$D$33*'EUIt Sheet'!$F$33,0),IF($AI$28="Regular",'EUIt Sheet'!$D$34*'EUIt Sheet'!$F$34,0),IF($AI$28="Regular",'EUIt Sheet'!$D$35*'EUIt Sheet'!$F$35,0),IF($AI$28="Regular",'EUIt Sheet'!$D$36*'EUIt Sheet'!$F$36,0),IF($AI$28="Regular",'EUIt Sheet'!$D$37*'EUIt Sheet'!$F$37,0),IF($AI$28="Regular",'EUIt Sheet'!$D$38*'EUIt Sheet'!$F$38,0),IF($AI$28="Regular",'EUIt Sheet'!$D$39*'EUIt Sheet'!$F$39,0),IF($AI$28="Regular",'EUIt Sheet'!$D$40*'EUIt Sheet'!$F$40,0),IF($AI$28="Regular",'EUIt Sheet'!$D$41*'EUIt Sheet'!$F$41,0),IF($AI$28="Regular",'EUIt Sheet'!$D$42*'EUIt Sheet'!$F$42,0),IF($AI$28="Regular",'EUIt Sheet'!$D$43*'EUIt Sheet'!$F$43,0),IF($AI$28="Regular",'EUIt Sheet'!$D$44*'EUIt Sheet'!$F$44,0),IF($AI$28="Regular",'EUIt Sheet'!$D$45*'EUIt Sheet'!$F$45,0),IF($AI$28="Regular",'EUIt Sheet'!$D$46*'EUIt Sheet'!$F$46,0),IF($AI$28="Regular",'EUIt Sheet'!$D$47*'EUIt Sheet'!$F$47,0),IF($AI$28="Regular",'EUIt Sheet'!$D$48*'EUIt Sheet'!$F$48,0),IF($AI$28="Regular",'EUIt Sheet'!$D$49*'EUIt Sheet'!$F$49,0),IF($AI$28="Regular",'EUIt Sheet'!$D$50*'EUIt Sheet'!$F$50,0),IF($AI$28="Regular",'EUIt Sheet'!$D$51*'EUIt Sheet'!$F$51,0),IF($AI$28="Regular",'EUIt Sheet'!$D$53*'EUIt Sheet'!$F$52,0),IF($AI$28="Regular",'EUIt Sheet'!$D$53*'EUIt Sheet'!$F$53,0),IF($AI$28="Regular",'EUIt Sheet'!$D$54*'EUIt Sheet'!$F$54,0),IF($AI$28="Regular",'EUIt Sheet'!$D$55*'EUIt Sheet'!$F$55,0),IF($AI$28="Regular",'EUIt Sheet'!$D$56*'EUIt Sheet'!$F$56,0),IF($AI$28="Regular",'EUIt Sheet'!$D$57*'EUIt Sheet'!$F$57,0),IF($AI$28="Regular",'EUIt Sheet'!$D$58*'EUIt Sheet'!$F$58,0),IF($AI$28="Regular",'EUIt Sheet'!$D$59*'EUIt Sheet'!$F$59,0),IF($AI$28="Regular",'EUIt Sheet'!$D$60*'EUIt Sheet'!$F$60,0),IF($AI$28="Regular",'EUIt Sheet'!$D$61*'EUIt Sheet'!$F$61,0),IF($AI$28="Regular",'EUIt Sheet'!$D$62*'EUIt Sheet'!$F$62,0),IF($AI$28="Regular",'EUIt Sheet'!$D$63*'EUIt Sheet'!$F$63,0),IF($AI$28="Regular",'EUIt Sheet'!$D$64*'EUIt Sheet'!$F$64,0),IF($AI$28="Regular",'EUIt Sheet'!$D$65*'EUIt Sheet'!$F$65,0),IF($AI$28="Regular",'EUIt Sheet'!$D$66*'EUIt Sheet'!$F$66,0),IF($AI$28="Regular",'EUIt Sheet'!$D$67*'EUIt Sheet'!$F$67,0),IF($AI$28="Regular",'EUIt Sheet'!$D$68*'EUIt Sheet'!$F$68,0),IF($AI$28="Regular",'EUIt Sheet'!$D$69*'EUIt Sheet'!$F$69,0),IF($AI$28="Regular",'EUIt Sheet'!$D$70*'EUIt Sheet'!$F$70,0))/12</f>
        <v>0</v>
      </c>
      <c r="AJ7" s="24" t="s">
        <v>211</v>
      </c>
      <c r="AK7" s="24"/>
      <c r="AL7" s="24"/>
      <c r="AM7" s="21"/>
      <c r="AN7" s="21"/>
      <c r="AO7" s="21"/>
      <c r="AP7" s="21"/>
      <c r="AQ7" s="21"/>
      <c r="AR7" s="21"/>
      <c r="AS7" s="21"/>
      <c r="AT7" s="16"/>
      <c r="AU7" s="17"/>
      <c r="AV7" s="17"/>
      <c r="AW7" s="17"/>
      <c r="AX7" s="29">
        <v>0</v>
      </c>
      <c r="AY7" s="16">
        <v>35000</v>
      </c>
      <c r="AZ7" s="17">
        <f t="shared" si="0"/>
        <v>35000</v>
      </c>
      <c r="BA7" s="17"/>
      <c r="BB7" s="17"/>
      <c r="BC7" s="17"/>
      <c r="BD7" s="17"/>
      <c r="BE7" s="17"/>
      <c r="BF7" s="17"/>
      <c r="BG7" s="17"/>
      <c r="BH7" s="29"/>
      <c r="BI7" s="29"/>
      <c r="BJ7" s="108"/>
      <c r="BK7" s="108"/>
      <c r="BL7" s="108"/>
      <c r="BM7" s="108"/>
      <c r="BN7" s="108"/>
      <c r="BO7" s="108"/>
      <c r="BP7" s="108"/>
      <c r="BQ7" s="108"/>
      <c r="BR7" s="108"/>
      <c r="BS7" s="108"/>
      <c r="BT7" s="108"/>
      <c r="BU7" s="108"/>
      <c r="BV7" s="108"/>
    </row>
    <row r="8" spans="1:74" customFormat="1" ht="100" customHeight="1" x14ac:dyDescent="0.35">
      <c r="A8" s="21" t="str">
        <f t="shared" si="1"/>
        <v>6: Education | K-12 school | High school</v>
      </c>
      <c r="B8" s="24">
        <v>6</v>
      </c>
      <c r="C8" s="25" t="s">
        <v>191</v>
      </c>
      <c r="D8" s="25" t="s">
        <v>204</v>
      </c>
      <c r="E8" s="25" t="s">
        <v>212</v>
      </c>
      <c r="F8" s="24">
        <v>43</v>
      </c>
      <c r="G8" s="24">
        <v>44</v>
      </c>
      <c r="H8" s="26">
        <v>0.9</v>
      </c>
      <c r="I8" s="26">
        <v>1.1000000000000001</v>
      </c>
      <c r="J8" s="26">
        <v>1.9</v>
      </c>
      <c r="K8" s="27" t="s">
        <v>206</v>
      </c>
      <c r="L8" s="27" t="s">
        <v>207</v>
      </c>
      <c r="M8" s="27" t="str">
        <f>IFERROR(VLOOKUP($O8,Lookups!$AA$3:$AB$14,2,FALSE),"")&amp;" "&amp;IFERROR(VLOOKUP($P8,Lookups!$AA$3:$AB$14,2,FALSE),"")</f>
        <v xml:space="preserve">The weekly hours are the hours that the majority of the building is open to serve the public. </v>
      </c>
      <c r="N8" s="16"/>
      <c r="O8" s="24">
        <v>4</v>
      </c>
      <c r="P8" s="24"/>
      <c r="Q8" s="24">
        <v>10</v>
      </c>
      <c r="R8" s="24">
        <v>9</v>
      </c>
      <c r="S8" s="24">
        <v>10</v>
      </c>
      <c r="T8" s="16"/>
      <c r="U8" s="24" t="s">
        <v>160</v>
      </c>
      <c r="V8" s="24"/>
      <c r="W8" s="24"/>
      <c r="X8" s="16"/>
      <c r="Y8" s="169">
        <v>5</v>
      </c>
      <c r="Z8" s="30" t="s">
        <v>213</v>
      </c>
      <c r="AA8" s="169">
        <v>5</v>
      </c>
      <c r="AB8" s="30" t="s">
        <v>214</v>
      </c>
      <c r="AC8" s="16"/>
      <c r="AD8" s="16"/>
      <c r="AE8" s="24" t="s">
        <v>215</v>
      </c>
      <c r="AF8" s="24" t="s">
        <v>190</v>
      </c>
      <c r="AG8" s="16"/>
      <c r="AH8" s="16"/>
      <c r="AI8" s="34">
        <f>SUM(IF($AI$10="Special Tier 2",'EUIt Sheet'!$D$10*'EUIt Sheet'!$F$10,0),IF($AI$11="Special Tier 2",'EUIt Sheet'!$D$11*'EUIt Sheet'!$F$11,0),IF($AI$12="Special Tier 2",'EUIt Sheet'!$D$12*'EUIt Sheet'!$F$12,0),IF($AI$13="Special Tier 2",'EUIt Sheet'!$D$13*'EUIt Sheet'!$F$13,0),IF($AI$14="Special Tier 2",'EUIt Sheet'!$D$14*'EUIt Sheet'!$F$14,0),IF($AI$15="Special Tier 2",'EUIt Sheet'!$D$15*'EUIt Sheet'!$F$15,0),IF($AI$16="Special Tier 2",'EUIt Sheet'!$D$16*'EUIt Sheet'!$F$16,0),IF($AI$17="Special Tier 2",'EUIt Sheet'!$D$17*'EUIt Sheet'!$F$17,0),IF($AI$18="Special Tier 2",'EUIt Sheet'!$D$18*'EUIt Sheet'!$F$18,0),IF($AI$19="Special Tier 2",'EUIt Sheet'!$D$19*'EUIt Sheet'!$F$19,0),IF($AI$20="Special Tier 2",'EUIt Sheet'!$D$20*'EUIt Sheet'!$F$20,0),IF($AI$21="Special Tier 2",'EUIt Sheet'!$D$21*'EUIt Sheet'!$F$21,0),IF($AI$22="Special Tier 2",'EUIt Sheet'!$D$22*'EUIt Sheet'!$F$22,0),IF($AI$23="Special Tier 2",'EUIt Sheet'!$D$23*'EUIt Sheet'!$F$23,0),IF($AI$24="Special Tier 2",'EUIt Sheet'!$D$24*'EUIt Sheet'!$F$24,0),IF($AI$25="Special Tier 2",'EUIt Sheet'!$D$25*'EUIt Sheet'!$F$25,0),IF($AI$26="Special Tier 2",'EUIt Sheet'!$D$26*'EUIt Sheet'!$F$26,0),IF($AI$27="Special Tier 2",'EUIt Sheet'!$D$27*'EUIt Sheet'!$F$27,0),IF($AI$28="Special Tier 2",'EUIt Sheet'!$D$28*'EUIt Sheet'!$F$28,0),IF($AI$29="Special Tier 2",'EUIt Sheet'!$D$29*'EUIt Sheet'!$F$29,0),IF($AI$30="Special Tier 2",'EUIt Sheet'!$D$30*'EUIt Sheet'!$F$30,0),IF($AI$31="Special Tier 2",'EUIt Sheet'!$D$31*'EUIt Sheet'!$F$31,0),IF($AI$32="Special Tier 2",'EUIt Sheet'!$D$32*'EUIt Sheet'!$F$32,0),IF($AI$33="Special Tier 2",'EUIt Sheet'!$D$33*'EUIt Sheet'!$F$33,0),IF($AI$34="Special Tier 2",'EUIt Sheet'!$D$34*'EUIt Sheet'!$F$34,0),IF($AI$35="Special Tier 2",'EUIt Sheet'!$D$35*'EUIt Sheet'!$F$35,0),IF($AI$36="Special Tier 2",'EUIt Sheet'!$D$36*'EUIt Sheet'!$F$36,0),IF($AI$37="Special Tier 2",'EUIt Sheet'!$D$37*'EUIt Sheet'!$F$37,0),IF($AI$38="Special Tier 2",'EUIt Sheet'!$D$38*'EUIt Sheet'!$F$38,0),IF($AI$39="Special Tier 2",'EUIt Sheet'!$D$39*'EUIt Sheet'!$F$39,0),IF($AI$40="Special Tier 2",'EUIt Sheet'!$D$40*'EUIt Sheet'!$F$40,0),IF($AI$41="Special Tier 2",'EUIt Sheet'!$D$41*'EUIt Sheet'!$F$41,0),IF($AI$42="Special Tier 2",'EUIt Sheet'!$D$42*'EUIt Sheet'!$F$42,0),IF($AI$43="Special Tier 2",'EUIt Sheet'!$D$43*'EUIt Sheet'!$F$43,0),IF($AI$44="Special Tier 2",'EUIt Sheet'!$D$44*'EUIt Sheet'!$F$44,0),IF($AI$45="Special Tier 2",'EUIt Sheet'!$D$45*'EUIt Sheet'!$F$45,0),IF($AI$46="Special Tier 2",'EUIt Sheet'!$D$46*'EUIt Sheet'!$F$46,0),IF($AI$47="Special Tier 2",'EUIt Sheet'!$D$47*'EUIt Sheet'!$F$47,0),IF($AI$48="Special Tier 2",'EUIt Sheet'!$D$48*'EUIt Sheet'!$F$48,0),IF($AI$49="Special Tier 2",'EUIt Sheet'!$D$49*'EUIt Sheet'!$F$49,0),IF($AI$50="Special Tier 2",'EUIt Sheet'!$D$50*'EUIt Sheet'!$F$50,0),IF($AI$51="Special Tier 2",'EUIt Sheet'!$D$51*'EUIt Sheet'!$F$51,0),IF($AI$52="Special Tier 2",'EUIt Sheet'!$D$52*'EUIt Sheet'!$F$52,0),IF($AI$53="Special Tier 2",'EUIt Sheet'!$D$53*'EUIt Sheet'!$F$53,0),IF($AI$54="Special Tier 2",'EUIt Sheet'!$D$54*'EUIt Sheet'!$F$54,0),IF($AI$55="Special Tier 2",'EUIt Sheet'!$D$55*'EUIt Sheet'!$F$55,0),IF($AI$56="Special Tier 2",'EUIt Sheet'!$D$56*'EUIt Sheet'!$F$56,0),IF($AI$57="Special Tier 2",'EUIt Sheet'!$D$57*'EUIt Sheet'!$F$57,0),IF($AI$58="Special Tier 2",'EUIt Sheet'!$D$58*'EUIt Sheet'!$F$58,0),IF($AI$59="Special Tier 2",'EUIt Sheet'!$D$59*'EUIt Sheet'!$F$59,0),IF($AI$60="Special Tier 2",'EUIt Sheet'!$D$60*'EUIt Sheet'!$F$60,0),IF($AI$61="Special Tier 2",'EUIt Sheet'!$D$61*'EUIt Sheet'!$F$61,0),IF($AI$62="Special Tier 2",'EUIt Sheet'!$D$62*'EUIt Sheet'!$F$62,0),IF($AI$63="Special Tier 2",'EUIt Sheet'!$D$63*'EUIt Sheet'!$F$63,0),IF($AI$64="Special Tier 2",'EUIt Sheet'!$D$64*'EUIt Sheet'!$F$64,0),IF($AI$65="Special Tier 2",'EUIt Sheet'!$D$65*'EUIt Sheet'!$F$65,0),IF($AI$66="Special Tier 2",'EUIt Sheet'!$D$66*'EUIt Sheet'!$F$66,0),IF($AI$67="Special Tier 2",'EUIt Sheet'!$D$67*'EUIt Sheet'!$F$67,0),IF($AI$68="Special Tier 2",'EUIt Sheet'!$D$68*'EUIt Sheet'!$F$68,0),IF($AI$69="Special Tier 2",'EUIt Sheet'!$D$69*'EUIt Sheet'!$F$69,0),IF($AI$70="Special Tier 2",'EUIt Sheet'!$D$70*'EUIt Sheet'!$F$70,0))/12</f>
        <v>0</v>
      </c>
      <c r="AJ8" s="169" t="s">
        <v>216</v>
      </c>
      <c r="AK8" s="169"/>
      <c r="AL8" s="169"/>
      <c r="AM8" s="21"/>
      <c r="AN8" s="35" t="s">
        <v>217</v>
      </c>
      <c r="AO8" s="35" t="s">
        <v>218</v>
      </c>
      <c r="AP8" s="35" t="s">
        <v>219</v>
      </c>
      <c r="AQ8" s="24" t="s">
        <v>220</v>
      </c>
      <c r="AR8" s="24" t="s">
        <v>169</v>
      </c>
      <c r="AS8" s="21"/>
      <c r="AT8" s="16"/>
      <c r="AU8" s="17"/>
      <c r="AV8" s="17"/>
      <c r="AW8" s="17"/>
      <c r="AX8" s="29">
        <v>35000</v>
      </c>
      <c r="AY8" s="16">
        <v>35000</v>
      </c>
      <c r="AZ8" s="17">
        <f t="shared" si="0"/>
        <v>70000</v>
      </c>
      <c r="BA8" s="17"/>
      <c r="BB8" s="17"/>
      <c r="BC8" s="17"/>
      <c r="BD8" s="17"/>
      <c r="BE8" s="17"/>
      <c r="BF8" s="17"/>
      <c r="BG8" s="17"/>
      <c r="BH8" s="29"/>
      <c r="BI8" s="29"/>
      <c r="BJ8" s="108"/>
      <c r="BK8" s="108"/>
      <c r="BL8" s="108"/>
      <c r="BM8" s="108"/>
      <c r="BN8" s="108"/>
      <c r="BO8" s="108"/>
      <c r="BP8" s="108"/>
      <c r="BQ8" s="108"/>
      <c r="BR8" s="108"/>
      <c r="BS8" s="108"/>
      <c r="BT8" s="108"/>
      <c r="BU8" s="108"/>
      <c r="BV8" s="108"/>
    </row>
    <row r="9" spans="1:74" customFormat="1" ht="100" customHeight="1" x14ac:dyDescent="0.35">
      <c r="A9" s="21" t="str">
        <f t="shared" si="1"/>
        <v xml:space="preserve">7: Education | Preschool / daycare | </v>
      </c>
      <c r="B9" s="24">
        <v>7</v>
      </c>
      <c r="C9" s="25" t="s">
        <v>191</v>
      </c>
      <c r="D9" s="25" t="s">
        <v>221</v>
      </c>
      <c r="E9" s="25"/>
      <c r="F9" s="24">
        <v>60</v>
      </c>
      <c r="G9" s="24">
        <v>60</v>
      </c>
      <c r="H9" s="26">
        <v>0.9</v>
      </c>
      <c r="I9" s="26">
        <v>1.1000000000000001</v>
      </c>
      <c r="J9" s="26">
        <v>1.9</v>
      </c>
      <c r="K9" s="27" t="s">
        <v>222</v>
      </c>
      <c r="L9" s="27" t="s">
        <v>223</v>
      </c>
      <c r="M9" s="27" t="str">
        <f>IFERROR(VLOOKUP($O9,Lookups!$AA$3:$AB$14,2,FALSE),"")&amp;" "&amp;IFERROR(VLOOKUP($P9,Lookups!$AA$3:$AB$14,2,FALSE),"")</f>
        <v xml:space="preserve">The weekly hours are the hours that the majority of the building is open to serve the public. </v>
      </c>
      <c r="N9" s="16"/>
      <c r="O9" s="24">
        <v>4</v>
      </c>
      <c r="P9" s="24"/>
      <c r="Q9" s="24">
        <v>11</v>
      </c>
      <c r="R9" s="24">
        <v>10</v>
      </c>
      <c r="S9" s="24"/>
      <c r="T9" s="16"/>
      <c r="U9" s="24" t="s">
        <v>160</v>
      </c>
      <c r="V9" s="24"/>
      <c r="W9" s="24"/>
      <c r="X9" s="16"/>
      <c r="Y9" s="169">
        <v>6</v>
      </c>
      <c r="Z9" s="30" t="s">
        <v>224</v>
      </c>
      <c r="AA9" s="169">
        <v>6</v>
      </c>
      <c r="AB9" s="30" t="s">
        <v>225</v>
      </c>
      <c r="AC9" s="16"/>
      <c r="AD9" s="16"/>
      <c r="AE9" s="24" t="s">
        <v>226</v>
      </c>
      <c r="AF9" s="24" t="s">
        <v>182</v>
      </c>
      <c r="AG9" s="16"/>
      <c r="AH9" s="16"/>
      <c r="AI9" s="20" t="s">
        <v>227</v>
      </c>
      <c r="AJ9" s="20" t="s">
        <v>228</v>
      </c>
      <c r="AK9" s="20" t="s">
        <v>229</v>
      </c>
      <c r="AL9" s="20" t="s">
        <v>230</v>
      </c>
      <c r="AM9" s="21"/>
      <c r="AN9" s="36" t="s">
        <v>231</v>
      </c>
      <c r="AO9" s="36" t="s">
        <v>232</v>
      </c>
      <c r="AP9" s="36" t="s">
        <v>233</v>
      </c>
      <c r="AQ9" s="34">
        <v>35000</v>
      </c>
      <c r="AR9" s="28">
        <v>47635</v>
      </c>
      <c r="AS9" s="21"/>
      <c r="AT9" s="16"/>
      <c r="AU9" s="17"/>
      <c r="AV9" s="17"/>
      <c r="AW9" s="17"/>
      <c r="AX9" s="29">
        <v>250000</v>
      </c>
      <c r="AY9" s="16">
        <v>250000</v>
      </c>
      <c r="AZ9" s="17">
        <f t="shared" si="0"/>
        <v>500000</v>
      </c>
      <c r="BA9" s="17"/>
      <c r="BB9" s="17"/>
      <c r="BC9" s="17"/>
      <c r="BD9" s="17"/>
      <c r="BE9" s="17"/>
      <c r="BF9" s="17"/>
      <c r="BG9" s="17"/>
      <c r="BH9" s="29"/>
      <c r="BI9" s="29"/>
      <c r="BJ9" s="108"/>
      <c r="BK9" s="108"/>
      <c r="BL9" s="108"/>
      <c r="BM9" s="108"/>
      <c r="BN9" s="108"/>
      <c r="BO9" s="108"/>
      <c r="BP9" s="108"/>
      <c r="BQ9" s="108"/>
      <c r="BR9" s="108"/>
      <c r="BS9" s="108"/>
      <c r="BT9" s="108"/>
      <c r="BU9" s="108"/>
      <c r="BV9" s="108"/>
    </row>
    <row r="10" spans="1:74" customFormat="1" ht="100" customHeight="1" x14ac:dyDescent="0.35">
      <c r="A10" s="21" t="str">
        <f t="shared" si="1"/>
        <v xml:space="preserve">8: Education | Vocational school | </v>
      </c>
      <c r="B10" s="24">
        <v>8</v>
      </c>
      <c r="C10" s="25" t="s">
        <v>191</v>
      </c>
      <c r="D10" s="25" t="s">
        <v>234</v>
      </c>
      <c r="E10" s="25"/>
      <c r="F10" s="24">
        <v>48</v>
      </c>
      <c r="G10" s="24">
        <v>49</v>
      </c>
      <c r="H10" s="26">
        <v>0.9</v>
      </c>
      <c r="I10" s="26">
        <v>1.1000000000000001</v>
      </c>
      <c r="J10" s="26">
        <v>1.9</v>
      </c>
      <c r="K10" s="27" t="s">
        <v>235</v>
      </c>
      <c r="L10" s="27" t="s">
        <v>236</v>
      </c>
      <c r="M10" s="27" t="str">
        <f>IFERROR(VLOOKUP($O10,Lookups!$AA$3:$AB$14,2,FALSE),"")&amp;" "&amp;IFERROR(VLOOKUP($P10,Lookups!$AA$3:$AB$14,2,FALSE),"")</f>
        <v xml:space="preserve">The weekly hours are the hours that the majority of the building is open to serve the public. </v>
      </c>
      <c r="N10" s="16"/>
      <c r="O10" s="24">
        <v>4</v>
      </c>
      <c r="P10" s="24"/>
      <c r="Q10" s="24">
        <v>11</v>
      </c>
      <c r="R10" s="24">
        <v>10</v>
      </c>
      <c r="S10" s="24"/>
      <c r="T10" s="16"/>
      <c r="U10" s="24" t="s">
        <v>160</v>
      </c>
      <c r="V10" s="24"/>
      <c r="W10" s="24"/>
      <c r="X10" s="16"/>
      <c r="Y10" s="169">
        <v>7</v>
      </c>
      <c r="Z10" s="30" t="s">
        <v>237</v>
      </c>
      <c r="AA10" s="169">
        <v>7</v>
      </c>
      <c r="AB10" s="30" t="s">
        <v>238</v>
      </c>
      <c r="AC10" s="16"/>
      <c r="AD10" s="16"/>
      <c r="AE10" s="24" t="s">
        <v>239</v>
      </c>
      <c r="AF10" s="24" t="s">
        <v>190</v>
      </c>
      <c r="AG10" s="16"/>
      <c r="AH10" s="16"/>
      <c r="AI10" s="20" t="str">
        <f>IFERROR(IF(VLOOKUP('EUIt Sheet'!$C10,Lookups!$A$3:$V$116,21,FALSE)="","Regular",VLOOKUP('EUIt Sheet'!$C10,Lookups!$A$3:$V$116,21,FALSE)),"")</f>
        <v/>
      </c>
      <c r="AJ10" s="169" t="str">
        <f>IF(AL10&gt;=35000,IF(Lookups!AI10="Special Tier 2","Special Tier 2","Tier 1"),IF(AL10&gt;=20000,IF(Lookups!AI10="Special Tier 2","Not Covered","Regular Tier 2"),"Not Covered"))</f>
        <v>Not Covered</v>
      </c>
      <c r="AK10" s="24" t="str">
        <f>IF(OR('EUIt Sheet'!$G$2="Yes"),IF(IFERROR(VLOOKUP("Special Tier 2",$AJ$10:$AL$70,3,FALSE),0)&gt;0,IF(AJ10="Tier 1","Extended Tier 2",AJ10),AJ10),AJ10)</f>
        <v>Not Covered</v>
      </c>
      <c r="AL10" s="33">
        <f>'EUIt Sheet'!D10</f>
        <v>0</v>
      </c>
      <c r="AM10" s="21"/>
      <c r="AN10" s="36" t="s">
        <v>231</v>
      </c>
      <c r="AO10" s="36" t="s">
        <v>240</v>
      </c>
      <c r="AP10" s="36" t="s">
        <v>241</v>
      </c>
      <c r="AQ10" s="34">
        <v>90000</v>
      </c>
      <c r="AR10" s="28">
        <v>47270</v>
      </c>
      <c r="AS10" s="21"/>
      <c r="AT10" s="16"/>
      <c r="AU10" s="17"/>
      <c r="AV10" s="17"/>
      <c r="AW10" s="17"/>
      <c r="AX10" s="16"/>
      <c r="AY10" s="16"/>
      <c r="AZ10" s="17"/>
      <c r="BA10" s="17"/>
      <c r="BB10" s="17"/>
      <c r="BC10" s="17"/>
      <c r="BD10" s="17"/>
      <c r="BE10" s="17"/>
      <c r="BF10" s="17"/>
      <c r="BG10" s="17"/>
      <c r="BH10" s="29"/>
      <c r="BI10" s="29"/>
      <c r="BJ10" s="108"/>
      <c r="BK10" s="108"/>
      <c r="BL10" s="108"/>
      <c r="BM10" s="108"/>
      <c r="BN10" s="108"/>
      <c r="BO10" s="108"/>
      <c r="BP10" s="108"/>
      <c r="BQ10" s="108"/>
      <c r="BR10" s="108"/>
      <c r="BS10" s="108"/>
      <c r="BT10" s="108"/>
      <c r="BU10" s="108"/>
      <c r="BV10" s="108"/>
    </row>
    <row r="11" spans="1:74" customFormat="1" ht="100" customHeight="1" x14ac:dyDescent="0.35">
      <c r="A11" s="21" t="str">
        <f t="shared" si="1"/>
        <v xml:space="preserve">9: Education | Other - education | </v>
      </c>
      <c r="B11" s="24">
        <v>9</v>
      </c>
      <c r="C11" s="25" t="s">
        <v>191</v>
      </c>
      <c r="D11" s="25" t="s">
        <v>242</v>
      </c>
      <c r="E11" s="25"/>
      <c r="F11" s="24">
        <v>48</v>
      </c>
      <c r="G11" s="24">
        <v>49</v>
      </c>
      <c r="H11" s="26">
        <v>0.9</v>
      </c>
      <c r="I11" s="26">
        <v>1.1000000000000001</v>
      </c>
      <c r="J11" s="26">
        <v>1.9</v>
      </c>
      <c r="K11" s="27" t="s">
        <v>243</v>
      </c>
      <c r="L11" s="27" t="s">
        <v>244</v>
      </c>
      <c r="M11" s="27" t="str">
        <f>IFERROR(VLOOKUP($O11,Lookups!$AA$3:$AB$14,2,FALSE),"")&amp;" "&amp;IFERROR(VLOOKUP($P11,Lookups!$AA$3:$AB$14,2,FALSE),"")</f>
        <v xml:space="preserve">The weekly hours are the hours that the majority of the building is open to serve the public. </v>
      </c>
      <c r="N11" s="16"/>
      <c r="O11" s="24">
        <v>4</v>
      </c>
      <c r="P11" s="24"/>
      <c r="Q11" s="24">
        <v>11</v>
      </c>
      <c r="R11" s="24">
        <v>10</v>
      </c>
      <c r="S11" s="24"/>
      <c r="T11" s="16"/>
      <c r="U11" s="24" t="s">
        <v>160</v>
      </c>
      <c r="V11" s="24"/>
      <c r="W11" s="24"/>
      <c r="X11" s="16"/>
      <c r="Y11" s="169">
        <v>8</v>
      </c>
      <c r="Z11" s="30" t="s">
        <v>245</v>
      </c>
      <c r="AA11" s="169">
        <v>8</v>
      </c>
      <c r="AB11" s="30" t="s">
        <v>246</v>
      </c>
      <c r="AC11" s="16"/>
      <c r="AD11" s="16"/>
      <c r="AE11" s="24" t="s">
        <v>247</v>
      </c>
      <c r="AF11" s="24" t="s">
        <v>182</v>
      </c>
      <c r="AG11" s="16"/>
      <c r="AH11" s="16"/>
      <c r="AI11" s="20" t="str">
        <f>IFERROR(IF(VLOOKUP('EUIt Sheet'!$C11,Lookups!$A$3:$V$116,21,FALSE)="","Regular",VLOOKUP('EUIt Sheet'!$C11,Lookups!$A$3:$V$116,21,FALSE)),"")</f>
        <v/>
      </c>
      <c r="AJ11" s="169" t="str">
        <f>IF(AL11&gt;=35000,IF(Lookups!AI11="Special Tier 2","Special Tier 2","Tier 1"),IF(AL11&gt;=20000,IF(Lookups!AI11="Special Tier 2","Not Covered","Regular Tier 2"),"Not Covered"))</f>
        <v>Not Covered</v>
      </c>
      <c r="AK11" s="24" t="str">
        <f>IF(OR('EUIt Sheet'!$G$2="Yes"),IF(IFERROR(VLOOKUP("Special Tier 2",$AJ$10:$AL$70,3,FALSE),0)&gt;0,IF(AJ11="Tier 1","Extended Tier 2",AJ11),AJ11),AJ11)</f>
        <v>Not Covered</v>
      </c>
      <c r="AL11" s="33">
        <f>'EUIt Sheet'!D11</f>
        <v>0</v>
      </c>
      <c r="AM11" s="21"/>
      <c r="AN11" s="36" t="s">
        <v>231</v>
      </c>
      <c r="AO11" s="36" t="s">
        <v>248</v>
      </c>
      <c r="AP11" s="36" t="s">
        <v>249</v>
      </c>
      <c r="AQ11" s="34">
        <v>200000</v>
      </c>
      <c r="AR11" s="28">
        <v>46905</v>
      </c>
      <c r="AS11" s="21"/>
      <c r="AT11" s="16"/>
      <c r="AU11" s="17"/>
      <c r="AV11" s="17"/>
      <c r="AW11" s="17"/>
      <c r="AX11" s="16"/>
      <c r="AY11" s="16"/>
      <c r="AZ11" s="17"/>
      <c r="BA11" s="17"/>
      <c r="BB11" s="17"/>
      <c r="BC11" s="17"/>
      <c r="BD11" s="17"/>
      <c r="BE11" s="17"/>
      <c r="BF11" s="17"/>
      <c r="BG11" s="17"/>
      <c r="BH11" s="29"/>
      <c r="BI11" s="29"/>
      <c r="BJ11" s="108"/>
      <c r="BK11" s="108"/>
      <c r="BL11" s="108"/>
      <c r="BM11" s="108"/>
      <c r="BN11" s="108"/>
      <c r="BO11" s="108"/>
      <c r="BP11" s="108"/>
      <c r="BQ11" s="108"/>
      <c r="BR11" s="108"/>
      <c r="BS11" s="108"/>
      <c r="BT11" s="108"/>
      <c r="BU11" s="108"/>
      <c r="BV11" s="108"/>
    </row>
    <row r="12" spans="1:74" customFormat="1" ht="100" customHeight="1" x14ac:dyDescent="0.35">
      <c r="A12" s="21" t="str">
        <f t="shared" si="1"/>
        <v xml:space="preserve">10: Entertainment / public assembly | Aquarium | </v>
      </c>
      <c r="B12" s="24">
        <v>10</v>
      </c>
      <c r="C12" s="25" t="s">
        <v>250</v>
      </c>
      <c r="D12" s="25" t="s">
        <v>251</v>
      </c>
      <c r="E12" s="25"/>
      <c r="F12" s="24">
        <v>50</v>
      </c>
      <c r="G12" s="24">
        <v>54</v>
      </c>
      <c r="H12" s="26">
        <v>0.6</v>
      </c>
      <c r="I12" s="26">
        <v>1.1000000000000001</v>
      </c>
      <c r="J12" s="26">
        <v>1.6</v>
      </c>
      <c r="K12" s="27" t="s">
        <v>252</v>
      </c>
      <c r="L12" s="27" t="s">
        <v>253</v>
      </c>
      <c r="M12" s="27" t="str">
        <f>IFERROR(VLOOKUP($O12,Lookups!$AA$3:$AB$14,2,FALSE),"")&amp;" "&amp;IFERROR(VLOOKUP($P12,Lookups!$AA$3:$AB$14,2,FALSE),"")</f>
        <v>The weekly hours are the hours that the majority of the building is open to serve the public. Aquariums, Museums and Zoos may use other weekly hours if they are required to operate building systems additional hours to protect building contents. Provide documentation of the requirement in the energy management plan.</v>
      </c>
      <c r="N12" s="16"/>
      <c r="O12" s="24">
        <v>4</v>
      </c>
      <c r="P12" s="24">
        <v>9</v>
      </c>
      <c r="Q12" s="24"/>
      <c r="R12" s="24"/>
      <c r="S12" s="24"/>
      <c r="T12" s="16"/>
      <c r="U12" s="24"/>
      <c r="V12" s="24"/>
      <c r="W12" s="24"/>
      <c r="X12" s="16"/>
      <c r="Y12" s="169">
        <v>9</v>
      </c>
      <c r="Z12" s="30" t="s">
        <v>254</v>
      </c>
      <c r="AA12" s="169">
        <v>9</v>
      </c>
      <c r="AB12" s="30" t="s">
        <v>255</v>
      </c>
      <c r="AC12" s="16"/>
      <c r="AD12" s="16"/>
      <c r="AE12" s="24" t="s">
        <v>256</v>
      </c>
      <c r="AF12" s="24" t="s">
        <v>190</v>
      </c>
      <c r="AG12" s="16"/>
      <c r="AH12" s="16"/>
      <c r="AI12" s="20" t="str">
        <f>IFERROR(IF(VLOOKUP('EUIt Sheet'!$C12,Lookups!$A$3:$V$116,21,FALSE)="","Regular",VLOOKUP('EUIt Sheet'!$C12,Lookups!$A$3:$V$116,21,FALSE)),"")</f>
        <v/>
      </c>
      <c r="AJ12" s="169" t="str">
        <f>IF(AL12&gt;=35000,IF(Lookups!AI12="Special Tier 2","Special Tier 2","Tier 1"),IF(AL12&gt;=20000,IF(Lookups!AI12="Special Tier 2","Not Covered","Regular Tier 2"),"Not Covered"))</f>
        <v>Not Covered</v>
      </c>
      <c r="AK12" s="24" t="str">
        <f>IF(OR('EUIt Sheet'!$G$2="Yes"),IF(IFERROR(VLOOKUP("Special Tier 2",$AJ$10:$AL$70,3,FALSE),0)&gt;0,IF(AJ12="Tier 1","Extended Tier 2",AJ12),AJ12),AJ12)</f>
        <v>Not Covered</v>
      </c>
      <c r="AL12" s="33">
        <f>'EUIt Sheet'!D12</f>
        <v>0</v>
      </c>
      <c r="AM12" s="21"/>
      <c r="AN12" s="36" t="s">
        <v>231</v>
      </c>
      <c r="AO12" s="36" t="s">
        <v>257</v>
      </c>
      <c r="AP12" s="36" t="s">
        <v>258</v>
      </c>
      <c r="AQ12" s="34">
        <v>20000</v>
      </c>
      <c r="AR12" s="28">
        <v>46935</v>
      </c>
      <c r="AS12" s="21"/>
      <c r="AT12" s="16"/>
      <c r="AU12" s="17"/>
      <c r="AV12" s="17"/>
      <c r="AW12" s="17"/>
      <c r="AX12" s="16"/>
      <c r="AY12" s="16"/>
      <c r="AZ12" s="17"/>
      <c r="BA12" s="17"/>
      <c r="BB12" s="17"/>
      <c r="BC12" s="17"/>
      <c r="BD12" s="17"/>
      <c r="BE12" s="17"/>
      <c r="BF12" s="17"/>
      <c r="BG12" s="17"/>
      <c r="BH12" s="29"/>
      <c r="BI12" s="29"/>
      <c r="BJ12" s="108"/>
      <c r="BK12" s="108"/>
      <c r="BL12" s="108"/>
      <c r="BM12" s="108"/>
      <c r="BN12" s="108"/>
      <c r="BO12" s="108"/>
      <c r="BP12" s="108"/>
      <c r="BQ12" s="108"/>
      <c r="BR12" s="108"/>
      <c r="BS12" s="108"/>
      <c r="BT12" s="108"/>
      <c r="BU12" s="108"/>
      <c r="BV12" s="108"/>
    </row>
    <row r="13" spans="1:74" customFormat="1" ht="100" customHeight="1" x14ac:dyDescent="0.35">
      <c r="A13" s="21" t="str">
        <f t="shared" si="1"/>
        <v xml:space="preserve">11: Entertainment / public assembly | Bar / nightclub | </v>
      </c>
      <c r="B13" s="24">
        <v>11</v>
      </c>
      <c r="C13" s="25" t="s">
        <v>250</v>
      </c>
      <c r="D13" s="25" t="s">
        <v>259</v>
      </c>
      <c r="E13" s="25"/>
      <c r="F13" s="24">
        <v>50</v>
      </c>
      <c r="G13" s="24">
        <v>54</v>
      </c>
      <c r="H13" s="26">
        <v>0.6</v>
      </c>
      <c r="I13" s="26">
        <v>1.1000000000000001</v>
      </c>
      <c r="J13" s="26">
        <v>1.6</v>
      </c>
      <c r="K13" s="27" t="s">
        <v>260</v>
      </c>
      <c r="L13" s="27" t="s">
        <v>261</v>
      </c>
      <c r="M13" s="27" t="str">
        <f>IFERROR(VLOOKUP($O13,Lookups!$AA$3:$AB$14,2,FALSE),"")&amp;" "&amp;IFERROR(VLOOKUP($P13,Lookups!$AA$3:$AB$14,2,FALSE),"")</f>
        <v xml:space="preserve">The weekly hours are the hours that the majority of the building is open to serve the public. </v>
      </c>
      <c r="N13" s="16"/>
      <c r="O13" s="24">
        <v>4</v>
      </c>
      <c r="P13" s="24"/>
      <c r="Q13" s="24"/>
      <c r="R13" s="24"/>
      <c r="S13" s="24"/>
      <c r="T13" s="16"/>
      <c r="U13" s="24"/>
      <c r="V13" s="24"/>
      <c r="W13" s="24"/>
      <c r="X13" s="16"/>
      <c r="Y13" s="169">
        <v>10</v>
      </c>
      <c r="Z13" s="30" t="s">
        <v>262</v>
      </c>
      <c r="AA13" s="169">
        <v>10</v>
      </c>
      <c r="AB13" s="30" t="s">
        <v>263</v>
      </c>
      <c r="AC13" s="16"/>
      <c r="AD13" s="16"/>
      <c r="AE13" s="24" t="s">
        <v>264</v>
      </c>
      <c r="AF13" s="24" t="s">
        <v>182</v>
      </c>
      <c r="AG13" s="16"/>
      <c r="AH13" s="16"/>
      <c r="AI13" s="20" t="str">
        <f>IFERROR(IF(VLOOKUP('EUIt Sheet'!$C13,Lookups!$A$3:$V$116,21,FALSE)="","Regular",VLOOKUP('EUIt Sheet'!$C13,Lookups!$A$3:$V$116,21,FALSE)),"")</f>
        <v/>
      </c>
      <c r="AJ13" s="169" t="str">
        <f>IF(AL13&gt;=35000,IF(Lookups!AI13="Special Tier 2","Special Tier 2","Tier 1"),IF(AL13&gt;=20000,IF(Lookups!AI13="Special Tier 2","Not Covered","Regular Tier 2"),"Not Covered"))</f>
        <v>Not Covered</v>
      </c>
      <c r="AK13" s="24" t="str">
        <f>IF(OR('EUIt Sheet'!$G$2="Yes"),IF(IFERROR(VLOOKUP("Special Tier 2",$AJ$10:$AL$70,3,FALSE),0)&gt;0,IF(AJ13="Tier 1","Extended Tier 2",AJ13),AJ13),AJ13)</f>
        <v>Not Covered</v>
      </c>
      <c r="AL13" s="33">
        <f>'EUIt Sheet'!D13</f>
        <v>0</v>
      </c>
      <c r="AM13" s="21"/>
      <c r="AN13" s="36" t="s">
        <v>265</v>
      </c>
      <c r="AO13" s="36" t="s">
        <v>266</v>
      </c>
      <c r="AP13" s="36" t="s">
        <v>258</v>
      </c>
      <c r="AQ13" s="34">
        <v>35000</v>
      </c>
      <c r="AR13" s="28">
        <v>46935</v>
      </c>
      <c r="AS13" s="21"/>
      <c r="AT13" s="16"/>
      <c r="AU13" s="17"/>
      <c r="AV13" s="17"/>
      <c r="AW13" s="17"/>
      <c r="AX13" s="29">
        <v>0</v>
      </c>
      <c r="AY13" s="29">
        <v>20000</v>
      </c>
      <c r="AZ13" s="17">
        <f t="shared" ref="AZ13:AZ15" si="2">SUM(AX13:AY13)</f>
        <v>20000</v>
      </c>
      <c r="BA13" s="17"/>
      <c r="BB13" s="17"/>
      <c r="BC13" s="17"/>
      <c r="BD13" s="17"/>
      <c r="BE13" s="17"/>
      <c r="BF13" s="17"/>
      <c r="BG13" s="17"/>
      <c r="BH13" s="29"/>
      <c r="BI13" s="29"/>
      <c r="BJ13" s="108"/>
      <c r="BK13" s="108"/>
      <c r="BL13" s="108"/>
      <c r="BM13" s="108"/>
      <c r="BN13" s="108"/>
      <c r="BO13" s="108"/>
      <c r="BP13" s="108"/>
      <c r="BQ13" s="108"/>
      <c r="BR13" s="108"/>
      <c r="BS13" s="108"/>
      <c r="BT13" s="108"/>
      <c r="BU13" s="108"/>
      <c r="BV13" s="108"/>
    </row>
    <row r="14" spans="1:74" customFormat="1" ht="100" customHeight="1" x14ac:dyDescent="0.35">
      <c r="A14" s="21" t="str">
        <f t="shared" si="1"/>
        <v xml:space="preserve">12: Entertainment / public assembly | Bowling alley | </v>
      </c>
      <c r="B14" s="24">
        <v>12</v>
      </c>
      <c r="C14" s="25" t="s">
        <v>250</v>
      </c>
      <c r="D14" s="25" t="s">
        <v>267</v>
      </c>
      <c r="E14" s="25"/>
      <c r="F14" s="24">
        <v>82</v>
      </c>
      <c r="G14" s="24">
        <v>88</v>
      </c>
      <c r="H14" s="26">
        <v>0.6</v>
      </c>
      <c r="I14" s="26">
        <v>1.1000000000000001</v>
      </c>
      <c r="J14" s="26">
        <v>1.6</v>
      </c>
      <c r="K14" s="27" t="s">
        <v>268</v>
      </c>
      <c r="L14" s="27" t="s">
        <v>269</v>
      </c>
      <c r="M14" s="27" t="str">
        <f>IFERROR(VLOOKUP($O14,Lookups!$AA$3:$AB$14,2,FALSE),"")&amp;" "&amp;IFERROR(VLOOKUP($P14,Lookups!$AA$3:$AB$14,2,FALSE),"")</f>
        <v xml:space="preserve">The weekly hours are the hours that the majority of the building is open to serve the public. </v>
      </c>
      <c r="N14" s="16"/>
      <c r="O14" s="24">
        <v>4</v>
      </c>
      <c r="P14" s="24"/>
      <c r="Q14" s="24"/>
      <c r="R14" s="24"/>
      <c r="S14" s="24"/>
      <c r="T14" s="16"/>
      <c r="U14" s="24"/>
      <c r="V14" s="24"/>
      <c r="W14" s="24"/>
      <c r="X14" s="16"/>
      <c r="Y14" s="169" t="s">
        <v>270</v>
      </c>
      <c r="Z14" s="30" t="s">
        <v>271</v>
      </c>
      <c r="AA14" s="169">
        <v>11</v>
      </c>
      <c r="AB14" s="30" t="s">
        <v>262</v>
      </c>
      <c r="AC14" s="16"/>
      <c r="AD14" s="16"/>
      <c r="AE14" s="24" t="s">
        <v>272</v>
      </c>
      <c r="AF14" s="24" t="s">
        <v>182</v>
      </c>
      <c r="AG14" s="16"/>
      <c r="AH14" s="16"/>
      <c r="AI14" s="20" t="str">
        <f>IFERROR(IF(VLOOKUP('EUIt Sheet'!$C14,Lookups!$A$3:$V$116,21,FALSE)="","Regular",VLOOKUP('EUIt Sheet'!$C14,Lookups!$A$3:$V$116,21,FALSE)),"")</f>
        <v/>
      </c>
      <c r="AJ14" s="169" t="str">
        <f>IF(AL14&gt;=35000,IF(Lookups!AI14="Special Tier 2","Special Tier 2","Tier 1"),IF(AL14&gt;=20000,IF(Lookups!AI14="Special Tier 2","Not Covered","Regular Tier 2"),"Not Covered"))</f>
        <v>Not Covered</v>
      </c>
      <c r="AK14" s="24" t="str">
        <f>IF(OR('EUIt Sheet'!$G$2="Yes"),IF(IFERROR(VLOOKUP("Special Tier 2",$AJ$10:$AL$70,3,FALSE),0)&gt;0,IF(AJ14="Tier 1","Extended Tier 2",AJ14),AJ14),AJ14)</f>
        <v>Not Covered</v>
      </c>
      <c r="AL14" s="33">
        <f>'EUIt Sheet'!D14</f>
        <v>0</v>
      </c>
      <c r="AM14" s="21"/>
      <c r="AN14" s="21"/>
      <c r="AO14" s="21"/>
      <c r="AP14" s="21"/>
      <c r="AQ14" s="21"/>
      <c r="AR14" s="21"/>
      <c r="AS14" s="21"/>
      <c r="AT14" s="16"/>
      <c r="AU14" s="17"/>
      <c r="AV14" s="17"/>
      <c r="AW14" s="17"/>
      <c r="AX14" s="29">
        <v>20000</v>
      </c>
      <c r="AY14" s="29">
        <v>20000</v>
      </c>
      <c r="AZ14" s="17">
        <f t="shared" si="2"/>
        <v>40000</v>
      </c>
      <c r="BA14" s="17"/>
      <c r="BB14" s="17"/>
      <c r="BC14" s="17"/>
      <c r="BD14" s="17"/>
      <c r="BE14" s="17"/>
      <c r="BF14" s="17"/>
      <c r="BG14" s="17"/>
      <c r="BH14" s="29"/>
      <c r="BI14" s="29"/>
      <c r="BJ14" s="108"/>
      <c r="BK14" s="108"/>
      <c r="BL14" s="108"/>
      <c r="BM14" s="108"/>
      <c r="BN14" s="108"/>
      <c r="BO14" s="108"/>
      <c r="BP14" s="108"/>
      <c r="BQ14" s="108"/>
      <c r="BR14" s="108"/>
      <c r="BS14" s="108"/>
      <c r="BT14" s="108"/>
      <c r="BU14" s="108"/>
      <c r="BV14" s="108"/>
    </row>
    <row r="15" spans="1:74" customFormat="1" ht="100" customHeight="1" x14ac:dyDescent="0.35">
      <c r="A15" s="21" t="str">
        <f t="shared" si="1"/>
        <v xml:space="preserve">13: Entertainment / public assembly | Casino | </v>
      </c>
      <c r="B15" s="24">
        <v>13</v>
      </c>
      <c r="C15" s="25" t="s">
        <v>250</v>
      </c>
      <c r="D15" s="25" t="s">
        <v>273</v>
      </c>
      <c r="E15" s="25"/>
      <c r="F15" s="24">
        <v>50</v>
      </c>
      <c r="G15" s="24">
        <v>54</v>
      </c>
      <c r="H15" s="26">
        <v>0.6</v>
      </c>
      <c r="I15" s="26">
        <v>1.1000000000000001</v>
      </c>
      <c r="J15" s="26">
        <v>1.6</v>
      </c>
      <c r="K15" s="27" t="s">
        <v>274</v>
      </c>
      <c r="L15" s="27" t="s">
        <v>275</v>
      </c>
      <c r="M15" s="27" t="str">
        <f>IFERROR(VLOOKUP($O15,Lookups!$AA$3:$AB$14,2,FALSE),"")&amp;" "&amp;IFERROR(VLOOKUP($P15,Lookups!$AA$3:$AB$14,2,FALSE),"")</f>
        <v xml:space="preserve">The weekly hours are the hours that the majority of the building is open to serve the public. </v>
      </c>
      <c r="N15" s="16"/>
      <c r="O15" s="24">
        <v>4</v>
      </c>
      <c r="P15" s="24"/>
      <c r="Q15" s="24"/>
      <c r="R15" s="24"/>
      <c r="S15" s="24"/>
      <c r="T15" s="16"/>
      <c r="U15" s="24"/>
      <c r="V15" s="24"/>
      <c r="W15" s="24"/>
      <c r="X15" s="16"/>
      <c r="Y15" s="16"/>
      <c r="Z15" s="16"/>
      <c r="AA15" s="16"/>
      <c r="AB15" s="16"/>
      <c r="AC15" s="16"/>
      <c r="AD15" s="16"/>
      <c r="AE15" s="24" t="s">
        <v>276</v>
      </c>
      <c r="AF15" s="24" t="s">
        <v>182</v>
      </c>
      <c r="AG15" s="16"/>
      <c r="AH15" s="16"/>
      <c r="AI15" s="20" t="str">
        <f>IFERROR(IF(VLOOKUP('EUIt Sheet'!$C15,Lookups!$A$3:$V$116,21,FALSE)="","Regular",VLOOKUP('EUIt Sheet'!$C15,Lookups!$A$3:$V$116,21,FALSE)),"")</f>
        <v/>
      </c>
      <c r="AJ15" s="169" t="str">
        <f>IF(AL15&gt;=35000,IF(Lookups!AI15="Special Tier 2","Special Tier 2","Tier 1"),IF(AL15&gt;=20000,IF(Lookups!AI15="Special Tier 2","Not Covered","Regular Tier 2"),"Not Covered"))</f>
        <v>Not Covered</v>
      </c>
      <c r="AK15" s="24" t="str">
        <f>IF(OR('EUIt Sheet'!$G$2="Yes"),IF(IFERROR(VLOOKUP("Special Tier 2",$AJ$10:$AL$70,3,FALSE),0)&gt;0,IF(AJ15="Tier 1","Extended Tier 2",AJ15),AJ15),AJ15)</f>
        <v>Not Covered</v>
      </c>
      <c r="AL15" s="33">
        <f>'EUIt Sheet'!D15</f>
        <v>0</v>
      </c>
      <c r="AM15" s="21"/>
      <c r="AN15" s="21"/>
      <c r="AO15" s="21"/>
      <c r="AP15" s="21"/>
      <c r="AQ15" s="21"/>
      <c r="AR15" s="21"/>
      <c r="AS15" s="21"/>
      <c r="AT15" s="16"/>
      <c r="AU15" s="17"/>
      <c r="AV15" s="17"/>
      <c r="AW15" s="17"/>
      <c r="AX15" s="29">
        <v>35000</v>
      </c>
      <c r="AY15" s="29">
        <v>35000</v>
      </c>
      <c r="AZ15" s="17">
        <f t="shared" si="2"/>
        <v>70000</v>
      </c>
      <c r="BA15" s="17"/>
      <c r="BB15" s="17"/>
      <c r="BC15" s="17"/>
      <c r="BD15" s="17"/>
      <c r="BE15" s="17"/>
      <c r="BF15" s="17"/>
      <c r="BG15" s="17"/>
      <c r="BH15" s="29"/>
      <c r="BI15" s="29"/>
      <c r="BJ15" s="108"/>
      <c r="BK15" s="108"/>
      <c r="BL15" s="108"/>
      <c r="BM15" s="108"/>
      <c r="BN15" s="108"/>
      <c r="BO15" s="108"/>
      <c r="BP15" s="108"/>
      <c r="BQ15" s="108"/>
      <c r="BR15" s="108"/>
      <c r="BS15" s="108"/>
      <c r="BT15" s="108"/>
      <c r="BU15" s="108"/>
      <c r="BV15" s="108"/>
    </row>
    <row r="16" spans="1:74" customFormat="1" ht="100" customHeight="1" x14ac:dyDescent="0.35">
      <c r="A16" s="21" t="str">
        <f t="shared" si="1"/>
        <v xml:space="preserve">14: Entertainment / public assembly | Convention center | </v>
      </c>
      <c r="B16" s="24">
        <v>14</v>
      </c>
      <c r="C16" s="25" t="s">
        <v>250</v>
      </c>
      <c r="D16" s="25" t="s">
        <v>277</v>
      </c>
      <c r="E16" s="25"/>
      <c r="F16" s="24">
        <v>63</v>
      </c>
      <c r="G16" s="24">
        <v>65</v>
      </c>
      <c r="H16" s="26">
        <v>0.6</v>
      </c>
      <c r="I16" s="26">
        <v>1.1000000000000001</v>
      </c>
      <c r="J16" s="26">
        <v>1.6</v>
      </c>
      <c r="K16" s="27" t="s">
        <v>278</v>
      </c>
      <c r="L16" s="27" t="s">
        <v>279</v>
      </c>
      <c r="M16" s="27" t="str">
        <f>IFERROR(VLOOKUP($O16,Lookups!$AA$3:$AB$14,2,FALSE),"")&amp;" "&amp;IFERROR(VLOOKUP($P16,Lookups!$AA$3:$AB$14,2,FALSE),"")</f>
        <v xml:space="preserve">The weekly hours are the hours that the majority of the building is open to serve the public. </v>
      </c>
      <c r="N16" s="16"/>
      <c r="O16" s="24">
        <v>4</v>
      </c>
      <c r="P16" s="24"/>
      <c r="Q16" s="24"/>
      <c r="R16" s="24"/>
      <c r="S16" s="24"/>
      <c r="T16" s="16"/>
      <c r="U16" s="24"/>
      <c r="V16" s="24"/>
      <c r="W16" s="24"/>
      <c r="X16" s="16"/>
      <c r="Y16" s="16"/>
      <c r="Z16" s="16"/>
      <c r="AA16" s="16"/>
      <c r="AB16" s="16"/>
      <c r="AC16" s="16"/>
      <c r="AD16" s="16"/>
      <c r="AE16" s="24" t="s">
        <v>280</v>
      </c>
      <c r="AF16" s="24" t="s">
        <v>182</v>
      </c>
      <c r="AG16" s="16"/>
      <c r="AH16" s="16"/>
      <c r="AI16" s="20" t="str">
        <f>IFERROR(IF(VLOOKUP('EUIt Sheet'!$C16,Lookups!$A$3:$V$116,21,FALSE)="","Regular",VLOOKUP('EUIt Sheet'!$C16,Lookups!$A$3:$V$116,21,FALSE)),"")</f>
        <v/>
      </c>
      <c r="AJ16" s="169" t="str">
        <f>IF(AL16&gt;=35000,IF(Lookups!AI16="Special Tier 2","Special Tier 2","Tier 1"),IF(AL16&gt;=20000,IF(Lookups!AI16="Special Tier 2","Not Covered","Regular Tier 2"),"Not Covered"))</f>
        <v>Not Covered</v>
      </c>
      <c r="AK16" s="24" t="str">
        <f>IF(OR('EUIt Sheet'!$G$2="Yes"),IF(IFERROR(VLOOKUP("Special Tier 2",$AJ$10:$AL$70,3,FALSE),0)&gt;0,IF(AJ16="Tier 1","Extended Tier 2",AJ16),AJ16),AJ16)</f>
        <v>Not Covered</v>
      </c>
      <c r="AL16" s="33">
        <f>'EUIt Sheet'!D16</f>
        <v>0</v>
      </c>
      <c r="AM16" s="21"/>
      <c r="AN16" s="21"/>
      <c r="AO16" s="21"/>
      <c r="AP16" s="21"/>
      <c r="AQ16" s="21"/>
      <c r="AR16" s="21"/>
      <c r="AS16" s="21"/>
      <c r="AT16" s="16"/>
      <c r="AU16" s="17"/>
      <c r="AV16" s="17"/>
      <c r="AW16" s="17"/>
      <c r="AX16" s="17"/>
      <c r="AY16" s="17"/>
      <c r="AZ16" s="17"/>
      <c r="BA16" s="17"/>
      <c r="BB16" s="17"/>
      <c r="BC16" s="17"/>
      <c r="BD16" s="17"/>
      <c r="BE16" s="17"/>
      <c r="BF16" s="17"/>
      <c r="BG16" s="17"/>
      <c r="BH16" s="29"/>
      <c r="BI16" s="29"/>
      <c r="BJ16" s="108"/>
      <c r="BK16" s="108"/>
      <c r="BL16" s="108"/>
      <c r="BM16" s="108"/>
      <c r="BN16" s="108"/>
      <c r="BO16" s="108"/>
      <c r="BP16" s="108"/>
      <c r="BQ16" s="108"/>
      <c r="BR16" s="108"/>
      <c r="BS16" s="108"/>
      <c r="BT16" s="108"/>
      <c r="BU16" s="108"/>
      <c r="BV16" s="108"/>
    </row>
    <row r="17" spans="1:74" customFormat="1" ht="100" customHeight="1" x14ac:dyDescent="0.35">
      <c r="A17" s="21" t="str">
        <f t="shared" si="1"/>
        <v xml:space="preserve">15: Entertainment / public assembly | Fitness center / health | </v>
      </c>
      <c r="B17" s="24">
        <v>15</v>
      </c>
      <c r="C17" s="25" t="s">
        <v>250</v>
      </c>
      <c r="D17" s="25" t="s">
        <v>281</v>
      </c>
      <c r="E17" s="25"/>
      <c r="F17" s="24">
        <v>82</v>
      </c>
      <c r="G17" s="24">
        <v>88</v>
      </c>
      <c r="H17" s="26">
        <v>0.6</v>
      </c>
      <c r="I17" s="26">
        <v>1.1000000000000001</v>
      </c>
      <c r="J17" s="26">
        <v>1.6</v>
      </c>
      <c r="K17" s="27" t="s">
        <v>282</v>
      </c>
      <c r="L17" s="27" t="s">
        <v>283</v>
      </c>
      <c r="M17" s="27" t="str">
        <f>IFERROR(VLOOKUP($O17,Lookups!$AA$3:$AB$14,2,FALSE),"")&amp;" "&amp;IFERROR(VLOOKUP($P17,Lookups!$AA$3:$AB$14,2,FALSE),"")</f>
        <v xml:space="preserve">The weekly hours are the hours that the majority of the building is open to serve the public. </v>
      </c>
      <c r="N17" s="16"/>
      <c r="O17" s="24">
        <v>4</v>
      </c>
      <c r="P17" s="24"/>
      <c r="Q17" s="24"/>
      <c r="R17" s="24"/>
      <c r="S17" s="24"/>
      <c r="T17" s="16"/>
      <c r="U17" s="24"/>
      <c r="V17" s="24"/>
      <c r="W17" s="24"/>
      <c r="X17" s="16"/>
      <c r="Y17" s="16"/>
      <c r="Z17" s="16"/>
      <c r="AA17" s="16"/>
      <c r="AB17" s="16"/>
      <c r="AC17" s="16"/>
      <c r="AD17" s="16"/>
      <c r="AE17" s="24" t="s">
        <v>284</v>
      </c>
      <c r="AF17" s="24" t="s">
        <v>190</v>
      </c>
      <c r="AG17" s="16"/>
      <c r="AH17" s="16"/>
      <c r="AI17" s="20" t="str">
        <f>IFERROR(IF(VLOOKUP('EUIt Sheet'!$C17,Lookups!$A$3:$V$116,21,FALSE)="","Regular",VLOOKUP('EUIt Sheet'!$C17,Lookups!$A$3:$V$116,21,FALSE)),"")</f>
        <v/>
      </c>
      <c r="AJ17" s="169" t="str">
        <f>IF(AL17&gt;=35000,IF(Lookups!AI17="Special Tier 2","Special Tier 2","Tier 1"),IF(AL17&gt;=20000,IF(Lookups!AI17="Special Tier 2","Not Covered","Regular Tier 2"),"Not Covered"))</f>
        <v>Not Covered</v>
      </c>
      <c r="AK17" s="24" t="str">
        <f>IF(OR('EUIt Sheet'!$G$2="Yes"),IF(IFERROR(VLOOKUP("Special Tier 2",$AJ$10:$AL$70,3,FALSE),0)&gt;0,IF(AJ17="Tier 1","Extended Tier 2",AJ17),AJ17),AJ17)</f>
        <v>Not Covered</v>
      </c>
      <c r="AL17" s="33">
        <f>'EUIt Sheet'!D17</f>
        <v>0</v>
      </c>
      <c r="AM17" s="21"/>
      <c r="AN17" s="21"/>
      <c r="AO17" s="21"/>
      <c r="AP17" s="21"/>
      <c r="AQ17" s="21"/>
      <c r="AR17" s="21"/>
      <c r="AS17" s="21"/>
      <c r="AT17" s="16"/>
      <c r="AU17" s="17"/>
      <c r="AV17" s="17"/>
      <c r="AW17" s="17"/>
      <c r="AX17" s="17"/>
      <c r="AY17" s="17"/>
      <c r="AZ17" s="17"/>
      <c r="BA17" s="17"/>
      <c r="BB17" s="17"/>
      <c r="BC17" s="17"/>
      <c r="BD17" s="17"/>
      <c r="BE17" s="17"/>
      <c r="BF17" s="17"/>
      <c r="BG17" s="17"/>
      <c r="BH17" s="29"/>
      <c r="BI17" s="29"/>
      <c r="BJ17" s="108"/>
      <c r="BK17" s="108"/>
      <c r="BL17" s="108"/>
      <c r="BM17" s="108"/>
      <c r="BN17" s="108"/>
      <c r="BO17" s="108"/>
      <c r="BP17" s="108"/>
      <c r="BQ17" s="108"/>
      <c r="BR17" s="108"/>
      <c r="BS17" s="108"/>
      <c r="BT17" s="108"/>
      <c r="BU17" s="108"/>
      <c r="BV17" s="108"/>
    </row>
    <row r="18" spans="1:74" customFormat="1" ht="100" customHeight="1" x14ac:dyDescent="0.35">
      <c r="A18" s="21" t="str">
        <f t="shared" si="1"/>
        <v xml:space="preserve">16: Entertainment / public assembly | Ice / curling | </v>
      </c>
      <c r="B18" s="24">
        <v>16</v>
      </c>
      <c r="C18" s="25" t="s">
        <v>250</v>
      </c>
      <c r="D18" s="25" t="s">
        <v>285</v>
      </c>
      <c r="E18" s="25"/>
      <c r="F18" s="24">
        <v>82</v>
      </c>
      <c r="G18" s="24">
        <v>88</v>
      </c>
      <c r="H18" s="26">
        <v>0.6</v>
      </c>
      <c r="I18" s="26">
        <v>1.1000000000000001</v>
      </c>
      <c r="J18" s="26">
        <v>1.6</v>
      </c>
      <c r="K18" s="27" t="s">
        <v>286</v>
      </c>
      <c r="L18" s="27" t="s">
        <v>287</v>
      </c>
      <c r="M18" s="27" t="str">
        <f>IFERROR(VLOOKUP($O18,Lookups!$AA$3:$AB$14,2,FALSE),"")&amp;" "&amp;IFERROR(VLOOKUP($P18,Lookups!$AA$3:$AB$14,2,FALSE),"")</f>
        <v xml:space="preserve">The weekly hours are the hours that the majority of the building is open to serve the public. </v>
      </c>
      <c r="N18" s="16"/>
      <c r="O18" s="24">
        <v>4</v>
      </c>
      <c r="P18" s="24"/>
      <c r="Q18" s="24"/>
      <c r="R18" s="24"/>
      <c r="S18" s="24"/>
      <c r="T18" s="16"/>
      <c r="U18" s="24"/>
      <c r="V18" s="24"/>
      <c r="W18" s="24"/>
      <c r="X18" s="16"/>
      <c r="Y18" s="16"/>
      <c r="Z18" s="16"/>
      <c r="AA18" s="16"/>
      <c r="AB18" s="16"/>
      <c r="AC18" s="16"/>
      <c r="AD18" s="16"/>
      <c r="AE18" s="24" t="s">
        <v>288</v>
      </c>
      <c r="AF18" s="24" t="s">
        <v>182</v>
      </c>
      <c r="AG18" s="16"/>
      <c r="AH18" s="16"/>
      <c r="AI18" s="20" t="str">
        <f>IFERROR(IF(VLOOKUP('EUIt Sheet'!$C18,Lookups!$A$3:$V$116,21,FALSE)="","Regular",VLOOKUP('EUIt Sheet'!$C18,Lookups!$A$3:$V$116,21,FALSE)),"")</f>
        <v/>
      </c>
      <c r="AJ18" s="169" t="str">
        <f>IF(AL18&gt;=35000,IF(Lookups!AI18="Special Tier 2","Special Tier 2","Tier 1"),IF(AL18&gt;=20000,IF(Lookups!AI18="Special Tier 2","Not Covered","Regular Tier 2"),"Not Covered"))</f>
        <v>Not Covered</v>
      </c>
      <c r="AK18" s="24" t="str">
        <f>IF(OR('EUIt Sheet'!$G$2="Yes"),IF(IFERROR(VLOOKUP("Special Tier 2",$AJ$10:$AL$70,3,FALSE),0)&gt;0,IF(AJ18="Tier 1","Extended Tier 2",AJ18),AJ18),AJ18)</f>
        <v>Not Covered</v>
      </c>
      <c r="AL18" s="33">
        <f>'EUIt Sheet'!D18</f>
        <v>0</v>
      </c>
      <c r="AM18" s="21"/>
      <c r="AN18" s="21"/>
      <c r="AO18" s="21"/>
      <c r="AP18" s="21"/>
      <c r="AQ18" s="21"/>
      <c r="AR18" s="21"/>
      <c r="AS18" s="21"/>
      <c r="AT18" s="16"/>
      <c r="AU18" s="17"/>
      <c r="AV18" s="17"/>
      <c r="AW18" s="17"/>
      <c r="AX18" s="17"/>
      <c r="AY18" s="17"/>
      <c r="AZ18" s="17"/>
      <c r="BA18" s="17"/>
      <c r="BB18" s="17"/>
      <c r="BC18" s="17"/>
      <c r="BD18" s="17"/>
      <c r="BE18" s="17"/>
      <c r="BF18" s="17"/>
      <c r="BG18" s="17"/>
      <c r="BH18" s="29"/>
      <c r="BI18" s="29"/>
    </row>
    <row r="19" spans="1:74" customFormat="1" ht="100" customHeight="1" x14ac:dyDescent="0.35">
      <c r="A19" s="21" t="str">
        <f t="shared" si="1"/>
        <v xml:space="preserve">17: Entertainment / public assembly | Indoor arena | </v>
      </c>
      <c r="B19" s="24">
        <v>17</v>
      </c>
      <c r="C19" s="25" t="s">
        <v>250</v>
      </c>
      <c r="D19" s="25" t="s">
        <v>289</v>
      </c>
      <c r="E19" s="25"/>
      <c r="F19" s="24">
        <v>88</v>
      </c>
      <c r="G19" s="24">
        <v>91</v>
      </c>
      <c r="H19" s="26">
        <v>0.6</v>
      </c>
      <c r="I19" s="26">
        <v>1.1000000000000001</v>
      </c>
      <c r="J19" s="26">
        <v>1.6</v>
      </c>
      <c r="K19" s="27" t="s">
        <v>290</v>
      </c>
      <c r="L19" s="27" t="s">
        <v>291</v>
      </c>
      <c r="M19" s="27" t="str">
        <f>IFERROR(VLOOKUP($O19,Lookups!$AA$3:$AB$14,2,FALSE),"")&amp;" "&amp;IFERROR(VLOOKUP($P19,Lookups!$AA$3:$AB$14,2,FALSE),"")</f>
        <v xml:space="preserve">The weekly hours are the hours that the majority of the building is open to serve the public. </v>
      </c>
      <c r="N19" s="16"/>
      <c r="O19" s="24">
        <v>4</v>
      </c>
      <c r="P19" s="24"/>
      <c r="Q19" s="24"/>
      <c r="R19" s="24"/>
      <c r="S19" s="24"/>
      <c r="T19" s="16"/>
      <c r="U19" s="24"/>
      <c r="V19" s="24"/>
      <c r="W19" s="24"/>
      <c r="X19" s="16"/>
      <c r="Y19" s="16"/>
      <c r="Z19" s="16"/>
      <c r="AA19" s="16"/>
      <c r="AB19" s="16"/>
      <c r="AC19" s="16"/>
      <c r="AD19" s="16"/>
      <c r="AE19" s="24" t="s">
        <v>292</v>
      </c>
      <c r="AF19" s="24" t="s">
        <v>190</v>
      </c>
      <c r="AG19" s="16"/>
      <c r="AH19" s="16"/>
      <c r="AI19" s="20" t="str">
        <f>IFERROR(IF(VLOOKUP('EUIt Sheet'!$C19,Lookups!$A$3:$V$116,21,FALSE)="","Regular",VLOOKUP('EUIt Sheet'!$C19,Lookups!$A$3:$V$116,21,FALSE)),"")</f>
        <v/>
      </c>
      <c r="AJ19" s="169" t="str">
        <f>IF(AL19&gt;=35000,IF(Lookups!AI19="Special Tier 2","Special Tier 2","Tier 1"),IF(AL19&gt;=20000,IF(Lookups!AI19="Special Tier 2","Not Covered","Regular Tier 2"),"Not Covered"))</f>
        <v>Not Covered</v>
      </c>
      <c r="AK19" s="24" t="str">
        <f>IF(OR('EUIt Sheet'!$G$2="Yes"),IF(IFERROR(VLOOKUP("Special Tier 2",$AJ$10:$AL$70,3,FALSE),0)&gt;0,IF(AJ19="Tier 1","Extended Tier 2",AJ19),AJ19),AJ19)</f>
        <v>Not Covered</v>
      </c>
      <c r="AL19" s="33">
        <f>'EUIt Sheet'!D19</f>
        <v>0</v>
      </c>
      <c r="AM19" s="21"/>
      <c r="AN19" s="21"/>
      <c r="AO19" s="21"/>
      <c r="AP19" s="21"/>
      <c r="AQ19" s="21"/>
      <c r="AR19" s="21"/>
      <c r="AS19" s="21"/>
      <c r="AT19" s="16"/>
      <c r="AU19" s="17"/>
      <c r="AV19" s="17"/>
      <c r="AW19" s="17"/>
      <c r="AX19" s="17"/>
      <c r="AY19" s="17"/>
      <c r="AZ19" s="17"/>
      <c r="BA19" s="17"/>
      <c r="BB19" s="17"/>
      <c r="BC19" s="17"/>
      <c r="BD19" s="17"/>
      <c r="BE19" s="17"/>
      <c r="BF19" s="17"/>
      <c r="BG19" s="17"/>
      <c r="BH19" s="29"/>
      <c r="BI19" s="29"/>
    </row>
    <row r="20" spans="1:74" customFormat="1" ht="100" customHeight="1" x14ac:dyDescent="0.35">
      <c r="A20" s="21" t="str">
        <f t="shared" si="1"/>
        <v xml:space="preserve">18: Entertainment / public assembly | Movie theater | </v>
      </c>
      <c r="B20" s="24">
        <v>18</v>
      </c>
      <c r="C20" s="25" t="s">
        <v>250</v>
      </c>
      <c r="D20" s="25" t="s">
        <v>293</v>
      </c>
      <c r="E20" s="25"/>
      <c r="F20" s="24">
        <v>88</v>
      </c>
      <c r="G20" s="24">
        <v>91</v>
      </c>
      <c r="H20" s="26">
        <v>0.6</v>
      </c>
      <c r="I20" s="26">
        <v>1.1000000000000001</v>
      </c>
      <c r="J20" s="26">
        <v>1.6</v>
      </c>
      <c r="K20" s="27" t="s">
        <v>294</v>
      </c>
      <c r="L20" s="27" t="s">
        <v>295</v>
      </c>
      <c r="M20" s="27" t="str">
        <f>IFERROR(VLOOKUP($O20,Lookups!$AA$3:$AB$14,2,FALSE),"")&amp;" "&amp;IFERROR(VLOOKUP($P20,Lookups!$AA$3:$AB$14,2,FALSE),"")</f>
        <v xml:space="preserve">The weekly hours are the hours that the majority of the building is open to serve the public. </v>
      </c>
      <c r="N20" s="16"/>
      <c r="O20" s="24">
        <v>4</v>
      </c>
      <c r="P20" s="24"/>
      <c r="Q20" s="24"/>
      <c r="R20" s="24"/>
      <c r="S20" s="24"/>
      <c r="T20" s="16"/>
      <c r="U20" s="24"/>
      <c r="V20" s="24"/>
      <c r="W20" s="24"/>
      <c r="X20" s="16"/>
      <c r="Y20" s="16"/>
      <c r="Z20" s="16"/>
      <c r="AA20" s="16"/>
      <c r="AB20" s="16"/>
      <c r="AC20" s="16"/>
      <c r="AD20" s="16"/>
      <c r="AE20" s="24" t="s">
        <v>296</v>
      </c>
      <c r="AF20" s="24" t="s">
        <v>182</v>
      </c>
      <c r="AG20" s="16"/>
      <c r="AH20" s="16"/>
      <c r="AI20" s="20" t="str">
        <f>IFERROR(IF(VLOOKUP('EUIt Sheet'!$C20,Lookups!$A$3:$V$116,21,FALSE)="","Regular",VLOOKUP('EUIt Sheet'!$C20,Lookups!$A$3:$V$116,21,FALSE)),"")</f>
        <v/>
      </c>
      <c r="AJ20" s="169" t="str">
        <f>IF(AL20&gt;=35000,IF(Lookups!AI20="Special Tier 2","Special Tier 2","Tier 1"),IF(AL20&gt;=20000,IF(Lookups!AI20="Special Tier 2","Not Covered","Regular Tier 2"),"Not Covered"))</f>
        <v>Not Covered</v>
      </c>
      <c r="AK20" s="24" t="str">
        <f>IF(OR('EUIt Sheet'!$G$2="Yes"),IF(IFERROR(VLOOKUP("Special Tier 2",$AJ$10:$AL$70,3,FALSE),0)&gt;0,IF(AJ20="Tier 1","Extended Tier 2",AJ20),AJ20),AJ20)</f>
        <v>Not Covered</v>
      </c>
      <c r="AL20" s="33">
        <f>'EUIt Sheet'!D20</f>
        <v>0</v>
      </c>
      <c r="AM20" s="21"/>
      <c r="AN20" s="21"/>
      <c r="AO20" s="21"/>
      <c r="AP20" s="21"/>
      <c r="AQ20" s="21"/>
      <c r="AR20" s="21"/>
      <c r="AS20" s="21"/>
      <c r="AT20" s="16"/>
      <c r="AU20" s="17"/>
      <c r="AV20" s="17"/>
      <c r="AW20" s="17"/>
      <c r="AX20" s="17"/>
      <c r="AY20" s="17"/>
      <c r="AZ20" s="17"/>
      <c r="BA20" s="17"/>
      <c r="BB20" s="17"/>
      <c r="BC20" s="17"/>
      <c r="BD20" s="17"/>
      <c r="BE20" s="17"/>
      <c r="BF20" s="17"/>
      <c r="BG20" s="17"/>
      <c r="BH20" s="29"/>
      <c r="BI20" s="29"/>
    </row>
    <row r="21" spans="1:74" customFormat="1" ht="100" customHeight="1" x14ac:dyDescent="0.35">
      <c r="A21" s="21" t="str">
        <f t="shared" si="1"/>
        <v xml:space="preserve">19: Entertainment / public assembly | Museum | </v>
      </c>
      <c r="B21" s="24">
        <v>19</v>
      </c>
      <c r="C21" s="25" t="s">
        <v>250</v>
      </c>
      <c r="D21" s="25" t="s">
        <v>297</v>
      </c>
      <c r="E21" s="25"/>
      <c r="F21" s="24">
        <v>88</v>
      </c>
      <c r="G21" s="24">
        <v>91</v>
      </c>
      <c r="H21" s="26">
        <v>0.6</v>
      </c>
      <c r="I21" s="26">
        <v>1.1000000000000001</v>
      </c>
      <c r="J21" s="26">
        <v>1.6</v>
      </c>
      <c r="K21" s="27" t="s">
        <v>298</v>
      </c>
      <c r="L21" s="27" t="s">
        <v>299</v>
      </c>
      <c r="M21" s="27" t="str">
        <f>IFERROR(VLOOKUP($O21,Lookups!$AA$3:$AB$14,2,FALSE),"")&amp;" "&amp;IFERROR(VLOOKUP($P21,Lookups!$AA$3:$AB$14,2,FALSE),"")</f>
        <v>The weekly hours are the hours that the majority of the building is open to serve the public. Aquariums, Museums and Zoos may use other weekly hours if they are required to operate building systems additional hours to protect building contents. Provide documentation of the requirement in the energy management plan.</v>
      </c>
      <c r="N21" s="16"/>
      <c r="O21" s="24">
        <v>4</v>
      </c>
      <c r="P21" s="24">
        <v>9</v>
      </c>
      <c r="Q21" s="24"/>
      <c r="R21" s="24"/>
      <c r="S21" s="24"/>
      <c r="T21" s="16"/>
      <c r="U21" s="24"/>
      <c r="V21" s="24"/>
      <c r="W21" s="24"/>
      <c r="X21" s="16"/>
      <c r="Y21" s="16"/>
      <c r="Z21" s="16"/>
      <c r="AA21" s="16"/>
      <c r="AB21" s="16"/>
      <c r="AC21" s="16"/>
      <c r="AD21" s="16"/>
      <c r="AE21" s="24" t="s">
        <v>300</v>
      </c>
      <c r="AF21" s="24" t="s">
        <v>182</v>
      </c>
      <c r="AG21" s="16"/>
      <c r="AH21" s="16"/>
      <c r="AI21" s="20" t="str">
        <f>IFERROR(IF(VLOOKUP('EUIt Sheet'!$C21,Lookups!$A$3:$V$116,21,FALSE)="","Regular",VLOOKUP('EUIt Sheet'!$C21,Lookups!$A$3:$V$116,21,FALSE)),"")</f>
        <v/>
      </c>
      <c r="AJ21" s="169" t="str">
        <f>IF(AL21&gt;=35000,IF(Lookups!AI21="Special Tier 2","Special Tier 2","Tier 1"),IF(AL21&gt;=20000,IF(Lookups!AI21="Special Tier 2","Not Covered","Regular Tier 2"),"Not Covered"))</f>
        <v>Not Covered</v>
      </c>
      <c r="AK21" s="24" t="str">
        <f>IF(OR('EUIt Sheet'!$G$2="Yes"),IF(IFERROR(VLOOKUP("Special Tier 2",$AJ$10:$AL$70,3,FALSE),0)&gt;0,IF(AJ21="Tier 1","Extended Tier 2",AJ21),AJ21),AJ21)</f>
        <v>Not Covered</v>
      </c>
      <c r="AL21" s="33">
        <f>'EUIt Sheet'!D21</f>
        <v>0</v>
      </c>
      <c r="AM21" s="21"/>
      <c r="AN21" s="21"/>
      <c r="AO21" s="21"/>
      <c r="AP21" s="21"/>
      <c r="AQ21" s="21"/>
      <c r="AR21" s="21"/>
      <c r="AS21" s="21"/>
      <c r="AT21" s="16"/>
      <c r="AU21" s="17"/>
      <c r="AV21" s="17"/>
      <c r="AW21" s="17"/>
      <c r="AX21" s="17"/>
      <c r="AY21" s="17"/>
      <c r="AZ21" s="17"/>
      <c r="BA21" s="17"/>
      <c r="BB21" s="17"/>
      <c r="BC21" s="17"/>
      <c r="BD21" s="17"/>
      <c r="BE21" s="17"/>
      <c r="BF21" s="17"/>
      <c r="BG21" s="17"/>
      <c r="BH21" s="29"/>
      <c r="BI21" s="29"/>
    </row>
    <row r="22" spans="1:74" customFormat="1" ht="100" customHeight="1" x14ac:dyDescent="0.35">
      <c r="A22" s="21" t="str">
        <f t="shared" si="1"/>
        <v xml:space="preserve">20: Entertainment / public assembly | Performing arts | </v>
      </c>
      <c r="B22" s="24">
        <v>20</v>
      </c>
      <c r="C22" s="25" t="s">
        <v>250</v>
      </c>
      <c r="D22" s="25" t="s">
        <v>301</v>
      </c>
      <c r="E22" s="25"/>
      <c r="F22" s="24">
        <v>50</v>
      </c>
      <c r="G22" s="24">
        <v>54</v>
      </c>
      <c r="H22" s="26">
        <v>0.6</v>
      </c>
      <c r="I22" s="26">
        <v>1.1000000000000001</v>
      </c>
      <c r="J22" s="26">
        <v>1.6</v>
      </c>
      <c r="K22" s="27" t="s">
        <v>302</v>
      </c>
      <c r="L22" s="27" t="s">
        <v>303</v>
      </c>
      <c r="M22" s="27" t="str">
        <f>IFERROR(VLOOKUP($O22,Lookups!$AA$3:$AB$14,2,FALSE),"")&amp;" "&amp;IFERROR(VLOOKUP($P22,Lookups!$AA$3:$AB$14,2,FALSE),"")</f>
        <v xml:space="preserve">The weekly hours are the hours that the majority of the building is open to serve the public. </v>
      </c>
      <c r="N22" s="16"/>
      <c r="O22" s="24">
        <v>4</v>
      </c>
      <c r="P22" s="24"/>
      <c r="Q22" s="24"/>
      <c r="R22" s="24"/>
      <c r="S22" s="24"/>
      <c r="T22" s="16"/>
      <c r="U22" s="24"/>
      <c r="V22" s="24"/>
      <c r="W22" s="24"/>
      <c r="X22" s="16"/>
      <c r="Y22" s="16"/>
      <c r="Z22" s="16"/>
      <c r="AA22" s="16"/>
      <c r="AB22" s="16"/>
      <c r="AC22" s="16"/>
      <c r="AD22" s="16"/>
      <c r="AE22" s="24" t="s">
        <v>304</v>
      </c>
      <c r="AF22" s="24" t="s">
        <v>190</v>
      </c>
      <c r="AG22" s="16"/>
      <c r="AH22" s="16"/>
      <c r="AI22" s="20" t="str">
        <f>IFERROR(IF(VLOOKUP('EUIt Sheet'!$C22,Lookups!$A$3:$V$116,21,FALSE)="","Regular",VLOOKUP('EUIt Sheet'!$C22,Lookups!$A$3:$V$116,21,FALSE)),"")</f>
        <v/>
      </c>
      <c r="AJ22" s="169" t="str">
        <f>IF(AL22&gt;=35000,IF(Lookups!AI22="Special Tier 2","Special Tier 2","Tier 1"),IF(AL22&gt;=20000,IF(Lookups!AI22="Special Tier 2","Not Covered","Regular Tier 2"),"Not Covered"))</f>
        <v>Not Covered</v>
      </c>
      <c r="AK22" s="24" t="str">
        <f>IF(OR('EUIt Sheet'!$G$2="Yes"),IF(IFERROR(VLOOKUP("Special Tier 2",$AJ$10:$AL$70,3,FALSE),0)&gt;0,IF(AJ22="Tier 1","Extended Tier 2",AJ22),AJ22),AJ22)</f>
        <v>Not Covered</v>
      </c>
      <c r="AL22" s="33">
        <f>'EUIt Sheet'!D22</f>
        <v>0</v>
      </c>
      <c r="AM22" s="21"/>
      <c r="AN22" s="21"/>
      <c r="AO22" s="21"/>
      <c r="AP22" s="21"/>
      <c r="AQ22" s="21"/>
      <c r="AR22" s="21"/>
      <c r="AS22" s="21"/>
      <c r="AT22" s="16"/>
      <c r="AU22" s="17"/>
      <c r="AV22" s="17"/>
      <c r="AW22" s="17"/>
      <c r="AX22" s="17"/>
      <c r="AY22" s="17"/>
      <c r="AZ22" s="17"/>
      <c r="BA22" s="17"/>
      <c r="BB22" s="17"/>
      <c r="BC22" s="17"/>
      <c r="BD22" s="17"/>
      <c r="BE22" s="17"/>
      <c r="BF22" s="17"/>
      <c r="BG22" s="17"/>
      <c r="BH22" s="29"/>
      <c r="BI22" s="29"/>
    </row>
    <row r="23" spans="1:74" customFormat="1" ht="100" customHeight="1" x14ac:dyDescent="0.35">
      <c r="A23" s="21" t="str">
        <f t="shared" si="1"/>
        <v xml:space="preserve">21: Entertainment / public assembly | Race track | </v>
      </c>
      <c r="B23" s="24">
        <v>21</v>
      </c>
      <c r="C23" s="25" t="s">
        <v>250</v>
      </c>
      <c r="D23" s="25" t="s">
        <v>305</v>
      </c>
      <c r="E23" s="25"/>
      <c r="F23" s="24">
        <v>88</v>
      </c>
      <c r="G23" s="24">
        <v>91</v>
      </c>
      <c r="H23" s="26">
        <v>0.6</v>
      </c>
      <c r="I23" s="26">
        <v>1.1000000000000001</v>
      </c>
      <c r="J23" s="26">
        <v>1.6</v>
      </c>
      <c r="K23" s="27" t="s">
        <v>306</v>
      </c>
      <c r="L23" s="27" t="s">
        <v>307</v>
      </c>
      <c r="M23" s="27" t="str">
        <f>IFERROR(VLOOKUP($O23,Lookups!$AA$3:$AB$14,2,FALSE),"")&amp;" "&amp;IFERROR(VLOOKUP($P23,Lookups!$AA$3:$AB$14,2,FALSE),"")</f>
        <v xml:space="preserve">The weekly hours are the hours that the majority of the building is open to serve the public. </v>
      </c>
      <c r="N23" s="16"/>
      <c r="O23" s="24">
        <v>4</v>
      </c>
      <c r="P23" s="24"/>
      <c r="Q23" s="24"/>
      <c r="R23" s="24"/>
      <c r="S23" s="24"/>
      <c r="T23" s="16"/>
      <c r="U23" s="24"/>
      <c r="V23" s="24"/>
      <c r="W23" s="24"/>
      <c r="X23" s="16"/>
      <c r="Y23" s="16"/>
      <c r="Z23" s="16"/>
      <c r="AA23" s="16"/>
      <c r="AB23" s="16"/>
      <c r="AC23" s="16"/>
      <c r="AD23" s="16"/>
      <c r="AE23" s="24" t="s">
        <v>308</v>
      </c>
      <c r="AF23" s="24" t="s">
        <v>190</v>
      </c>
      <c r="AG23" s="16"/>
      <c r="AH23" s="16"/>
      <c r="AI23" s="20" t="str">
        <f>IFERROR(IF(VLOOKUP('EUIt Sheet'!$C23,Lookups!$A$3:$V$116,21,FALSE)="","Regular",VLOOKUP('EUIt Sheet'!$C23,Lookups!$A$3:$V$116,21,FALSE)),"")</f>
        <v/>
      </c>
      <c r="AJ23" s="169" t="str">
        <f>IF(AL23&gt;=35000,IF(Lookups!AI23="Special Tier 2","Special Tier 2","Tier 1"),IF(AL23&gt;=20000,IF(Lookups!AI23="Special Tier 2","Not Covered","Regular Tier 2"),"Not Covered"))</f>
        <v>Not Covered</v>
      </c>
      <c r="AK23" s="24" t="str">
        <f>IF(OR('EUIt Sheet'!$G$2="Yes"),IF(IFERROR(VLOOKUP("Special Tier 2",$AJ$10:$AL$70,3,FALSE),0)&gt;0,IF(AJ23="Tier 1","Extended Tier 2",AJ23),AJ23),AJ23)</f>
        <v>Not Covered</v>
      </c>
      <c r="AL23" s="33">
        <f>'EUIt Sheet'!D23</f>
        <v>0</v>
      </c>
      <c r="AM23" s="21"/>
      <c r="AN23" s="21"/>
      <c r="AO23" s="21"/>
      <c r="AP23" s="21"/>
      <c r="AQ23" s="21"/>
      <c r="AR23" s="21"/>
      <c r="AS23" s="21"/>
      <c r="AT23" s="16"/>
      <c r="AU23" s="17"/>
      <c r="AV23" s="17"/>
      <c r="AW23" s="17"/>
      <c r="AX23" s="17"/>
      <c r="AY23" s="17"/>
      <c r="AZ23" s="17"/>
      <c r="BA23" s="17"/>
      <c r="BB23" s="17"/>
      <c r="BC23" s="17"/>
      <c r="BD23" s="17"/>
      <c r="BE23" s="17"/>
      <c r="BF23" s="17"/>
      <c r="BG23" s="17"/>
      <c r="BH23" s="29"/>
      <c r="BI23" s="29"/>
    </row>
    <row r="24" spans="1:74" customFormat="1" ht="100" customHeight="1" x14ac:dyDescent="0.35">
      <c r="A24" s="21" t="str">
        <f t="shared" si="1"/>
        <v xml:space="preserve">22: Entertainment / public assembly | Roller rink | </v>
      </c>
      <c r="B24" s="24">
        <v>22</v>
      </c>
      <c r="C24" s="25" t="s">
        <v>250</v>
      </c>
      <c r="D24" s="25" t="s">
        <v>309</v>
      </c>
      <c r="E24" s="25"/>
      <c r="F24" s="24">
        <v>82</v>
      </c>
      <c r="G24" s="24">
        <v>88</v>
      </c>
      <c r="H24" s="26">
        <v>0.6</v>
      </c>
      <c r="I24" s="26">
        <v>1.1000000000000001</v>
      </c>
      <c r="J24" s="26">
        <v>1.6</v>
      </c>
      <c r="K24" s="27" t="s">
        <v>310</v>
      </c>
      <c r="L24" s="27" t="s">
        <v>311</v>
      </c>
      <c r="M24" s="27" t="str">
        <f>IFERROR(VLOOKUP($O24,Lookups!$AA$3:$AB$14,2,FALSE),"")&amp;" "&amp;IFERROR(VLOOKUP($P24,Lookups!$AA$3:$AB$14,2,FALSE),"")</f>
        <v xml:space="preserve">The weekly hours are the hours that the majority of the building is open to serve the public. </v>
      </c>
      <c r="N24" s="16"/>
      <c r="O24" s="24">
        <v>4</v>
      </c>
      <c r="P24" s="24"/>
      <c r="Q24" s="24"/>
      <c r="R24" s="24"/>
      <c r="S24" s="24"/>
      <c r="T24" s="16"/>
      <c r="U24" s="24"/>
      <c r="V24" s="24"/>
      <c r="W24" s="24"/>
      <c r="X24" s="16"/>
      <c r="Y24" s="16"/>
      <c r="Z24" s="16"/>
      <c r="AA24" s="16"/>
      <c r="AB24" s="16"/>
      <c r="AC24" s="16"/>
      <c r="AD24" s="16"/>
      <c r="AE24" s="24" t="s">
        <v>312</v>
      </c>
      <c r="AF24" s="24" t="s">
        <v>190</v>
      </c>
      <c r="AG24" s="16"/>
      <c r="AH24" s="16"/>
      <c r="AI24" s="20" t="str">
        <f>IFERROR(IF(VLOOKUP('EUIt Sheet'!$C24,Lookups!$A$3:$V$116,21,FALSE)="","Regular",VLOOKUP('EUIt Sheet'!$C24,Lookups!$A$3:$V$116,21,FALSE)),"")</f>
        <v/>
      </c>
      <c r="AJ24" s="169" t="str">
        <f>IF(AL24&gt;=35000,IF(Lookups!AI24="Special Tier 2","Special Tier 2","Tier 1"),IF(AL24&gt;=20000,IF(Lookups!AI24="Special Tier 2","Not Covered","Regular Tier 2"),"Not Covered"))</f>
        <v>Not Covered</v>
      </c>
      <c r="AK24" s="24" t="str">
        <f>IF(OR('EUIt Sheet'!$G$2="Yes"),IF(IFERROR(VLOOKUP("Special Tier 2",$AJ$10:$AL$70,3,FALSE),0)&gt;0,IF(AJ24="Tier 1","Extended Tier 2",AJ24),AJ24),AJ24)</f>
        <v>Not Covered</v>
      </c>
      <c r="AL24" s="33">
        <f>'EUIt Sheet'!D24</f>
        <v>0</v>
      </c>
      <c r="AM24" s="21"/>
      <c r="AN24" s="21"/>
      <c r="AO24" s="21"/>
      <c r="AP24" s="21"/>
      <c r="AQ24" s="21"/>
      <c r="AR24" s="21"/>
      <c r="AS24" s="21"/>
      <c r="AT24" s="16"/>
      <c r="AU24" s="17"/>
      <c r="AV24" s="17"/>
      <c r="AW24" s="17"/>
      <c r="AX24" s="17"/>
      <c r="AY24" s="17"/>
      <c r="AZ24" s="17"/>
      <c r="BA24" s="17"/>
      <c r="BB24" s="17"/>
      <c r="BC24" s="17"/>
      <c r="BD24" s="17"/>
      <c r="BE24" s="17"/>
      <c r="BF24" s="17"/>
      <c r="BG24" s="17"/>
      <c r="BH24" s="29"/>
      <c r="BI24" s="29"/>
    </row>
    <row r="25" spans="1:74" customFormat="1" ht="100" customHeight="1" x14ac:dyDescent="0.35">
      <c r="A25" s="21" t="str">
        <f t="shared" si="1"/>
        <v xml:space="preserve">23: Entertainment / public assembly | Social / meeting hall | </v>
      </c>
      <c r="B25" s="24">
        <v>23</v>
      </c>
      <c r="C25" s="25" t="s">
        <v>250</v>
      </c>
      <c r="D25" s="25" t="s">
        <v>313</v>
      </c>
      <c r="E25" s="25"/>
      <c r="F25" s="24">
        <v>63</v>
      </c>
      <c r="G25" s="24">
        <v>65</v>
      </c>
      <c r="H25" s="26">
        <v>0.6</v>
      </c>
      <c r="I25" s="26">
        <v>1.1000000000000001</v>
      </c>
      <c r="J25" s="26">
        <v>1.6</v>
      </c>
      <c r="K25" s="27" t="s">
        <v>314</v>
      </c>
      <c r="L25" s="27" t="s">
        <v>315</v>
      </c>
      <c r="M25" s="27" t="str">
        <f>IFERROR(VLOOKUP($O25,Lookups!$AA$3:$AB$14,2,FALSE),"")&amp;" "&amp;IFERROR(VLOOKUP($P25,Lookups!$AA$3:$AB$14,2,FALSE),"")</f>
        <v xml:space="preserve">The weekly hours are the hours that the majority of the building is open to serve the public. </v>
      </c>
      <c r="N25" s="16"/>
      <c r="O25" s="24">
        <v>4</v>
      </c>
      <c r="P25" s="24"/>
      <c r="Q25" s="24"/>
      <c r="R25" s="24"/>
      <c r="S25" s="24"/>
      <c r="T25" s="16"/>
      <c r="U25" s="24"/>
      <c r="V25" s="24"/>
      <c r="W25" s="24"/>
      <c r="X25" s="16"/>
      <c r="Y25" s="16"/>
      <c r="Z25" s="16"/>
      <c r="AA25" s="16"/>
      <c r="AB25" s="16"/>
      <c r="AC25" s="16"/>
      <c r="AD25" s="16"/>
      <c r="AE25" s="24" t="s">
        <v>316</v>
      </c>
      <c r="AF25" s="24" t="s">
        <v>182</v>
      </c>
      <c r="AG25" s="16"/>
      <c r="AH25" s="16"/>
      <c r="AI25" s="20" t="str">
        <f>IFERROR(IF(VLOOKUP('EUIt Sheet'!$C25,Lookups!$A$3:$V$116,21,FALSE)="","Regular",VLOOKUP('EUIt Sheet'!$C25,Lookups!$A$3:$V$116,21,FALSE)),"")</f>
        <v/>
      </c>
      <c r="AJ25" s="169" t="str">
        <f>IF(AL25&gt;=35000,IF(Lookups!AI25="Special Tier 2","Special Tier 2","Tier 1"),IF(AL25&gt;=20000,IF(Lookups!AI25="Special Tier 2","Not Covered","Regular Tier 2"),"Not Covered"))</f>
        <v>Not Covered</v>
      </c>
      <c r="AK25" s="24" t="str">
        <f>IF(OR('EUIt Sheet'!$G$2="Yes"),IF(IFERROR(VLOOKUP("Special Tier 2",$AJ$10:$AL$70,3,FALSE),0)&gt;0,IF(AJ25="Tier 1","Extended Tier 2",AJ25),AJ25),AJ25)</f>
        <v>Not Covered</v>
      </c>
      <c r="AL25" s="33">
        <f>'EUIt Sheet'!D25</f>
        <v>0</v>
      </c>
      <c r="AM25" s="21"/>
      <c r="AN25" s="21"/>
      <c r="AO25" s="21"/>
      <c r="AP25" s="21"/>
      <c r="AQ25" s="21"/>
      <c r="AR25" s="21"/>
      <c r="AS25" s="21"/>
      <c r="AT25" s="16"/>
      <c r="AU25" s="17"/>
      <c r="AV25" s="17"/>
      <c r="AW25" s="17"/>
      <c r="AX25" s="17"/>
      <c r="AY25" s="17"/>
      <c r="AZ25" s="17"/>
      <c r="BA25" s="17"/>
      <c r="BB25" s="17"/>
      <c r="BC25" s="17"/>
      <c r="BD25" s="17"/>
      <c r="BE25" s="17"/>
      <c r="BF25" s="17"/>
      <c r="BG25" s="17"/>
      <c r="BH25" s="29"/>
      <c r="BI25" s="29"/>
    </row>
    <row r="26" spans="1:74" customFormat="1" ht="100" customHeight="1" x14ac:dyDescent="0.35">
      <c r="A26" s="21" t="str">
        <f t="shared" si="1"/>
        <v xml:space="preserve">24: Entertainment / public assembly | Stadium (closed) | </v>
      </c>
      <c r="B26" s="24">
        <v>24</v>
      </c>
      <c r="C26" s="25" t="s">
        <v>250</v>
      </c>
      <c r="D26" s="25" t="s">
        <v>317</v>
      </c>
      <c r="E26" s="25"/>
      <c r="F26" s="24">
        <v>88</v>
      </c>
      <c r="G26" s="24">
        <v>91</v>
      </c>
      <c r="H26" s="26">
        <v>0.6</v>
      </c>
      <c r="I26" s="26">
        <v>1.1000000000000001</v>
      </c>
      <c r="J26" s="26">
        <v>1.6</v>
      </c>
      <c r="K26" s="27" t="s">
        <v>318</v>
      </c>
      <c r="L26" s="27" t="s">
        <v>319</v>
      </c>
      <c r="M26" s="27" t="str">
        <f>IFERROR(VLOOKUP($O26,Lookups!$AA$3:$AB$14,2,FALSE),"")&amp;" "&amp;IFERROR(VLOOKUP($P26,Lookups!$AA$3:$AB$14,2,FALSE),"")</f>
        <v xml:space="preserve">The weekly hours are the hours that the majority of the building is open to serve the public. </v>
      </c>
      <c r="N26" s="16"/>
      <c r="O26" s="24">
        <v>4</v>
      </c>
      <c r="P26" s="24"/>
      <c r="Q26" s="24"/>
      <c r="R26" s="24"/>
      <c r="S26" s="24"/>
      <c r="T26" s="16"/>
      <c r="U26" s="24"/>
      <c r="V26" s="24"/>
      <c r="W26" s="24"/>
      <c r="X26" s="16"/>
      <c r="Y26" s="16"/>
      <c r="Z26" s="16"/>
      <c r="AA26" s="16"/>
      <c r="AB26" s="16"/>
      <c r="AC26" s="16"/>
      <c r="AD26" s="16"/>
      <c r="AE26" s="24" t="s">
        <v>320</v>
      </c>
      <c r="AF26" s="24" t="s">
        <v>190</v>
      </c>
      <c r="AG26" s="16"/>
      <c r="AH26" s="16"/>
      <c r="AI26" s="20" t="str">
        <f>IFERROR(IF(VLOOKUP('EUIt Sheet'!$C26,Lookups!$A$3:$V$116,21,FALSE)="","Regular",VLOOKUP('EUIt Sheet'!$C26,Lookups!$A$3:$V$116,21,FALSE)),"")</f>
        <v/>
      </c>
      <c r="AJ26" s="169" t="str">
        <f>IF(AL26&gt;=35000,IF(Lookups!AI26="Special Tier 2","Special Tier 2","Tier 1"),IF(AL26&gt;=20000,IF(Lookups!AI26="Special Tier 2","Not Covered","Regular Tier 2"),"Not Covered"))</f>
        <v>Not Covered</v>
      </c>
      <c r="AK26" s="24" t="str">
        <f>IF(OR('EUIt Sheet'!$G$2="Yes"),IF(IFERROR(VLOOKUP("Special Tier 2",$AJ$10:$AL$70,3,FALSE),0)&gt;0,IF(AJ26="Tier 1","Extended Tier 2",AJ26),AJ26),AJ26)</f>
        <v>Not Covered</v>
      </c>
      <c r="AL26" s="33">
        <f>'EUIt Sheet'!D26</f>
        <v>0</v>
      </c>
      <c r="AM26" s="16"/>
      <c r="AN26" s="16"/>
      <c r="AO26" s="16"/>
      <c r="AP26" s="16"/>
      <c r="AQ26" s="16"/>
      <c r="AR26" s="16"/>
      <c r="AS26" s="16"/>
      <c r="AT26" s="16"/>
      <c r="AU26" s="17"/>
      <c r="AV26" s="17"/>
      <c r="AW26" s="17"/>
      <c r="AX26" s="17"/>
      <c r="AY26" s="17"/>
      <c r="AZ26" s="17"/>
      <c r="BA26" s="17"/>
      <c r="BB26" s="17"/>
      <c r="BC26" s="17"/>
      <c r="BD26" s="17"/>
      <c r="BE26" s="17"/>
      <c r="BF26" s="17"/>
      <c r="BG26" s="17"/>
      <c r="BH26" s="29"/>
      <c r="BI26" s="29"/>
    </row>
    <row r="27" spans="1:74" customFormat="1" ht="100" customHeight="1" x14ac:dyDescent="0.35">
      <c r="A27" s="21" t="str">
        <f t="shared" si="1"/>
        <v xml:space="preserve">25: Entertainment / public assembly | Stadium (open) | </v>
      </c>
      <c r="B27" s="24">
        <v>25</v>
      </c>
      <c r="C27" s="25" t="s">
        <v>250</v>
      </c>
      <c r="D27" s="25" t="s">
        <v>321</v>
      </c>
      <c r="E27" s="25"/>
      <c r="F27" s="24">
        <v>88</v>
      </c>
      <c r="G27" s="24">
        <v>91</v>
      </c>
      <c r="H27" s="26">
        <v>0.6</v>
      </c>
      <c r="I27" s="26">
        <v>1.1000000000000001</v>
      </c>
      <c r="J27" s="26">
        <v>1.6</v>
      </c>
      <c r="K27" s="27" t="s">
        <v>322</v>
      </c>
      <c r="L27" s="27" t="s">
        <v>319</v>
      </c>
      <c r="M27" s="27" t="str">
        <f>IFERROR(VLOOKUP($O27,Lookups!$AA$3:$AB$14,2,FALSE),"")&amp;" "&amp;IFERROR(VLOOKUP($P27,Lookups!$AA$3:$AB$14,2,FALSE),"")</f>
        <v xml:space="preserve">The weekly hours are the hours that the majority of the building is open to serve the public. </v>
      </c>
      <c r="N27" s="16"/>
      <c r="O27" s="24">
        <v>4</v>
      </c>
      <c r="P27" s="24"/>
      <c r="Q27" s="24"/>
      <c r="R27" s="24"/>
      <c r="S27" s="24"/>
      <c r="T27" s="16"/>
      <c r="U27" s="24"/>
      <c r="V27" s="24"/>
      <c r="W27" s="24"/>
      <c r="X27" s="16"/>
      <c r="Y27" s="16"/>
      <c r="Z27" s="16"/>
      <c r="AA27" s="16"/>
      <c r="AB27" s="16"/>
      <c r="AC27" s="16"/>
      <c r="AD27" s="16"/>
      <c r="AE27" s="24" t="s">
        <v>323</v>
      </c>
      <c r="AF27" s="24" t="s">
        <v>182</v>
      </c>
      <c r="AG27" s="16"/>
      <c r="AH27" s="16"/>
      <c r="AI27" s="20" t="str">
        <f>IFERROR(IF(VLOOKUP('EUIt Sheet'!$C27,Lookups!$A$3:$V$116,21,FALSE)="","Regular",VLOOKUP('EUIt Sheet'!$C27,Lookups!$A$3:$V$116,21,FALSE)),"")</f>
        <v/>
      </c>
      <c r="AJ27" s="169" t="str">
        <f>IF(AL27&gt;=35000,IF(Lookups!AI27="Special Tier 2","Special Tier 2","Tier 1"),IF(AL27&gt;=20000,IF(Lookups!AI27="Special Tier 2","Not Covered","Regular Tier 2"),"Not Covered"))</f>
        <v>Not Covered</v>
      </c>
      <c r="AK27" s="24" t="str">
        <f>IF(OR('EUIt Sheet'!$G$2="Yes"),IF(IFERROR(VLOOKUP("Special Tier 2",$AJ$10:$AL$70,3,FALSE),0)&gt;0,IF(AJ27="Tier 1","Extended Tier 2",AJ27),AJ27),AJ27)</f>
        <v>Not Covered</v>
      </c>
      <c r="AL27" s="33">
        <f>'EUIt Sheet'!D27</f>
        <v>0</v>
      </c>
      <c r="AM27" s="16"/>
      <c r="AN27" s="16"/>
      <c r="AO27" s="16"/>
      <c r="AP27" s="16"/>
      <c r="AQ27" s="16"/>
      <c r="AR27" s="16"/>
      <c r="AS27" s="16"/>
      <c r="AT27" s="16"/>
      <c r="AU27" s="17"/>
      <c r="AV27" s="17"/>
      <c r="AW27" s="17"/>
      <c r="AX27" s="17"/>
      <c r="AY27" s="17"/>
      <c r="AZ27" s="17"/>
      <c r="BA27" s="17"/>
      <c r="BB27" s="17"/>
      <c r="BC27" s="17"/>
      <c r="BD27" s="17"/>
      <c r="BE27" s="17"/>
      <c r="BF27" s="17"/>
      <c r="BG27" s="17"/>
      <c r="BH27" s="29"/>
      <c r="BI27" s="29"/>
    </row>
    <row r="28" spans="1:74" customFormat="1" ht="100" customHeight="1" x14ac:dyDescent="0.35">
      <c r="A28" s="21" t="str">
        <f t="shared" si="1"/>
        <v xml:space="preserve">26: Entertainment / public assembly | Swimming pool | </v>
      </c>
      <c r="B28" s="24">
        <v>26</v>
      </c>
      <c r="C28" s="25" t="s">
        <v>250</v>
      </c>
      <c r="D28" s="25" t="s">
        <v>324</v>
      </c>
      <c r="E28" s="25"/>
      <c r="F28" s="24">
        <v>82</v>
      </c>
      <c r="G28" s="24">
        <v>88</v>
      </c>
      <c r="H28" s="26">
        <v>0.6</v>
      </c>
      <c r="I28" s="26">
        <v>1.1000000000000001</v>
      </c>
      <c r="J28" s="26">
        <v>1.6</v>
      </c>
      <c r="K28" s="27" t="s">
        <v>325</v>
      </c>
      <c r="L28" s="27" t="s">
        <v>326</v>
      </c>
      <c r="M28" s="27" t="str">
        <f>IFERROR(VLOOKUP($O28,Lookups!$AA$3:$AB$14,2,FALSE),"")&amp;" "&amp;IFERROR(VLOOKUP($P28,Lookups!$AA$3:$AB$14,2,FALSE),"")</f>
        <v xml:space="preserve">The weekly hours are the hours that the majority of the building is open to serve the public. </v>
      </c>
      <c r="N28" s="16"/>
      <c r="O28" s="24">
        <v>4</v>
      </c>
      <c r="P28" s="24"/>
      <c r="Q28" s="24"/>
      <c r="R28" s="24"/>
      <c r="S28" s="24"/>
      <c r="T28" s="16"/>
      <c r="U28" s="24"/>
      <c r="V28" s="24"/>
      <c r="W28" s="24"/>
      <c r="X28" s="16"/>
      <c r="Y28" s="16"/>
      <c r="Z28" s="16"/>
      <c r="AA28" s="16"/>
      <c r="AB28" s="16"/>
      <c r="AC28" s="16"/>
      <c r="AD28" s="16"/>
      <c r="AE28" s="24" t="s">
        <v>327</v>
      </c>
      <c r="AF28" s="24" t="s">
        <v>190</v>
      </c>
      <c r="AG28" s="16"/>
      <c r="AH28" s="16"/>
      <c r="AI28" s="20" t="str">
        <f>IFERROR(IF(VLOOKUP('EUIt Sheet'!$C28,Lookups!$A$3:$V$116,21,FALSE)="","Regular",VLOOKUP('EUIt Sheet'!$C28,Lookups!$A$3:$V$116,21,FALSE)),"")</f>
        <v/>
      </c>
      <c r="AJ28" s="169" t="str">
        <f>IF(AL28&gt;=35000,IF(Lookups!AI28="Special Tier 2","Special Tier 2","Tier 1"),IF(AL28&gt;=20000,IF(Lookups!AI28="Special Tier 2","Not Covered","Regular Tier 2"),"Not Covered"))</f>
        <v>Not Covered</v>
      </c>
      <c r="AK28" s="24" t="str">
        <f>IF(OR('EUIt Sheet'!$G$2="Yes"),IF(IFERROR(VLOOKUP("Special Tier 2",$AJ$10:$AL$70,3,FALSE),0)&gt;0,IF(AJ28="Tier 1","Extended Tier 2",AJ28),AJ28),AJ28)</f>
        <v>Not Covered</v>
      </c>
      <c r="AL28" s="33">
        <f>'EUIt Sheet'!D28</f>
        <v>0</v>
      </c>
      <c r="AM28" s="16"/>
      <c r="AN28" s="16"/>
      <c r="AO28" s="16"/>
      <c r="AP28" s="16"/>
      <c r="AQ28" s="16"/>
      <c r="AR28" s="16"/>
      <c r="AS28" s="16"/>
      <c r="AT28" s="16"/>
      <c r="AU28" s="17"/>
      <c r="AV28" s="17"/>
      <c r="AW28" s="17"/>
      <c r="AX28" s="17"/>
      <c r="AY28" s="17"/>
      <c r="AZ28" s="17"/>
      <c r="BA28" s="17"/>
      <c r="BB28" s="17"/>
      <c r="BC28" s="17"/>
      <c r="BD28" s="17"/>
      <c r="BE28" s="17"/>
      <c r="BF28" s="17"/>
      <c r="BG28" s="17"/>
      <c r="BH28" s="29"/>
      <c r="BI28" s="29"/>
    </row>
    <row r="29" spans="1:74" customFormat="1" ht="100" customHeight="1" x14ac:dyDescent="0.35">
      <c r="A29" s="21" t="str">
        <f t="shared" si="1"/>
        <v xml:space="preserve">27: Entertainment / public assembly | Zoo | </v>
      </c>
      <c r="B29" s="24">
        <v>27</v>
      </c>
      <c r="C29" s="25" t="s">
        <v>250</v>
      </c>
      <c r="D29" s="25" t="s">
        <v>328</v>
      </c>
      <c r="E29" s="25"/>
      <c r="F29" s="24">
        <v>50</v>
      </c>
      <c r="G29" s="24">
        <v>54</v>
      </c>
      <c r="H29" s="26">
        <v>0.6</v>
      </c>
      <c r="I29" s="26">
        <v>1.1000000000000001</v>
      </c>
      <c r="J29" s="26">
        <v>1.6</v>
      </c>
      <c r="K29" s="27" t="s">
        <v>329</v>
      </c>
      <c r="L29" s="27" t="s">
        <v>330</v>
      </c>
      <c r="M29" s="27" t="str">
        <f>IFERROR(VLOOKUP($O29,Lookups!$AA$3:$AB$14,2,FALSE),"")&amp;" "&amp;IFERROR(VLOOKUP($P29,Lookups!$AA$3:$AB$14,2,FALSE),"")</f>
        <v>The weekly hours are the hours that the majority of the building is open to serve the public. Aquariums, Museums and Zoos may use other weekly hours if they are required to operate building systems additional hours to protect building contents. Provide documentation of the requirement in the energy management plan.</v>
      </c>
      <c r="N29" s="16"/>
      <c r="O29" s="24">
        <v>4</v>
      </c>
      <c r="P29" s="24">
        <v>9</v>
      </c>
      <c r="Q29" s="24"/>
      <c r="R29" s="24"/>
      <c r="S29" s="24"/>
      <c r="T29" s="16"/>
      <c r="U29" s="24"/>
      <c r="V29" s="24"/>
      <c r="W29" s="24"/>
      <c r="X29" s="16"/>
      <c r="Y29" s="16"/>
      <c r="Z29" s="16"/>
      <c r="AA29" s="16"/>
      <c r="AB29" s="16"/>
      <c r="AC29" s="16"/>
      <c r="AD29" s="16"/>
      <c r="AE29" s="24" t="s">
        <v>331</v>
      </c>
      <c r="AF29" s="24" t="s">
        <v>190</v>
      </c>
      <c r="AG29" s="16"/>
      <c r="AH29" s="16"/>
      <c r="AI29" s="20" t="str">
        <f>IFERROR(IF(VLOOKUP('EUIt Sheet'!$C29,Lookups!$A$3:$V$116,21,FALSE)="","Regular",VLOOKUP('EUIt Sheet'!$C29,Lookups!$A$3:$V$116,21,FALSE)),"")</f>
        <v/>
      </c>
      <c r="AJ29" s="169" t="str">
        <f>IF(AL29&gt;=35000,IF(Lookups!AI29="Special Tier 2","Special Tier 2","Tier 1"),IF(AL29&gt;=20000,IF(Lookups!AI29="Special Tier 2","Not Covered","Regular Tier 2"),"Not Covered"))</f>
        <v>Not Covered</v>
      </c>
      <c r="AK29" s="24" t="str">
        <f>IF(OR('EUIt Sheet'!$G$2="Yes"),IF(IFERROR(VLOOKUP("Special Tier 2",$AJ$10:$AL$70,3,FALSE),0)&gt;0,IF(AJ29="Tier 1","Extended Tier 2",AJ29),AJ29),AJ29)</f>
        <v>Not Covered</v>
      </c>
      <c r="AL29" s="33">
        <f>'EUIt Sheet'!D29</f>
        <v>0</v>
      </c>
      <c r="AM29" s="16"/>
      <c r="AN29" s="16"/>
      <c r="AO29" s="16"/>
      <c r="AP29" s="16"/>
      <c r="AQ29" s="16"/>
      <c r="AR29" s="16"/>
      <c r="AS29" s="16"/>
      <c r="AT29" s="16"/>
      <c r="AU29" s="17"/>
      <c r="AV29" s="17"/>
      <c r="AW29" s="17"/>
      <c r="AX29" s="17"/>
      <c r="AY29" s="17"/>
      <c r="AZ29" s="17"/>
      <c r="BA29" s="17"/>
      <c r="BB29" s="17"/>
      <c r="BC29" s="17"/>
      <c r="BD29" s="17"/>
      <c r="BE29" s="17"/>
      <c r="BF29" s="17"/>
      <c r="BG29" s="17"/>
      <c r="BH29" s="29"/>
      <c r="BI29" s="29"/>
    </row>
    <row r="30" spans="1:74" customFormat="1" ht="100" customHeight="1" x14ac:dyDescent="0.35">
      <c r="A30" s="21" t="str">
        <f t="shared" si="1"/>
        <v>28: Entertainment / public assembly | Other-entertainment / public assembly | Entertainment / culture</v>
      </c>
      <c r="B30" s="24">
        <v>28</v>
      </c>
      <c r="C30" s="25" t="s">
        <v>250</v>
      </c>
      <c r="D30" s="25" t="s">
        <v>332</v>
      </c>
      <c r="E30" s="25" t="s">
        <v>333</v>
      </c>
      <c r="F30" s="24">
        <v>88</v>
      </c>
      <c r="G30" s="24">
        <v>91</v>
      </c>
      <c r="H30" s="26">
        <v>0.6</v>
      </c>
      <c r="I30" s="26">
        <v>1.1000000000000001</v>
      </c>
      <c r="J30" s="26">
        <v>1.6</v>
      </c>
      <c r="K30" s="27" t="s">
        <v>334</v>
      </c>
      <c r="L30" s="27" t="s">
        <v>326</v>
      </c>
      <c r="M30" s="27" t="str">
        <f>IFERROR(VLOOKUP($O30,Lookups!$AA$3:$AB$14,2,FALSE),"")&amp;" "&amp;IFERROR(VLOOKUP($P30,Lookups!$AA$3:$AB$14,2,FALSE),"")</f>
        <v xml:space="preserve">The weekly hours are the hours that the majority of the building is open to serve the public. </v>
      </c>
      <c r="N30" s="16"/>
      <c r="O30" s="24">
        <v>4</v>
      </c>
      <c r="P30" s="24"/>
      <c r="Q30" s="24"/>
      <c r="R30" s="24"/>
      <c r="S30" s="24"/>
      <c r="T30" s="16"/>
      <c r="U30" s="24"/>
      <c r="V30" s="24"/>
      <c r="W30" s="24"/>
      <c r="X30" s="16"/>
      <c r="Y30" s="16"/>
      <c r="Z30" s="16"/>
      <c r="AA30" s="16"/>
      <c r="AB30" s="16"/>
      <c r="AC30" s="16"/>
      <c r="AD30" s="16"/>
      <c r="AE30" s="24" t="s">
        <v>335</v>
      </c>
      <c r="AF30" s="24" t="s">
        <v>182</v>
      </c>
      <c r="AG30" s="16"/>
      <c r="AH30" s="16"/>
      <c r="AI30" s="20" t="str">
        <f>IFERROR(IF(VLOOKUP('EUIt Sheet'!$C30,Lookups!$A$3:$V$116,21,FALSE)="","Regular",VLOOKUP('EUIt Sheet'!$C30,Lookups!$A$3:$V$116,21,FALSE)),"")</f>
        <v/>
      </c>
      <c r="AJ30" s="169" t="str">
        <f>IF(AL30&gt;=35000,IF(Lookups!AI30="Special Tier 2","Special Tier 2","Tier 1"),IF(AL30&gt;=20000,IF(Lookups!AI30="Special Tier 2","Not Covered","Regular Tier 2"),"Not Covered"))</f>
        <v>Not Covered</v>
      </c>
      <c r="AK30" s="24" t="str">
        <f>IF(OR('EUIt Sheet'!$G$2="Yes"),IF(IFERROR(VLOOKUP("Special Tier 2",$AJ$10:$AL$70,3,FALSE),0)&gt;0,IF(AJ30="Tier 1","Extended Tier 2",AJ30),AJ30),AJ30)</f>
        <v>Not Covered</v>
      </c>
      <c r="AL30" s="33">
        <f>'EUIt Sheet'!D30</f>
        <v>0</v>
      </c>
      <c r="AM30" s="16"/>
      <c r="AN30" s="16"/>
      <c r="AO30" s="16"/>
      <c r="AP30" s="16"/>
      <c r="AQ30" s="16"/>
      <c r="AR30" s="16"/>
      <c r="AS30" s="16"/>
      <c r="AT30" s="16"/>
      <c r="AU30" s="17"/>
      <c r="AV30" s="17"/>
      <c r="AW30" s="17"/>
      <c r="AX30" s="17"/>
      <c r="AY30" s="17"/>
      <c r="AZ30" s="17"/>
      <c r="BA30" s="17"/>
      <c r="BB30" s="17"/>
      <c r="BC30" s="17"/>
      <c r="BD30" s="17"/>
      <c r="BE30" s="17"/>
      <c r="BF30" s="17"/>
      <c r="BG30" s="17"/>
      <c r="BH30" s="29"/>
      <c r="BI30" s="29"/>
    </row>
    <row r="31" spans="1:74" customFormat="1" ht="100" customHeight="1" x14ac:dyDescent="0.35">
      <c r="A31" s="21" t="str">
        <f t="shared" si="1"/>
        <v>29: Entertainment / public assembly | Other-entertainment / public assembly | Library</v>
      </c>
      <c r="B31" s="24">
        <v>29</v>
      </c>
      <c r="C31" s="25" t="s">
        <v>250</v>
      </c>
      <c r="D31" s="25" t="s">
        <v>332</v>
      </c>
      <c r="E31" s="25" t="s">
        <v>336</v>
      </c>
      <c r="F31" s="24">
        <v>38</v>
      </c>
      <c r="G31" s="24">
        <v>40</v>
      </c>
      <c r="H31" s="26">
        <v>0.6</v>
      </c>
      <c r="I31" s="26">
        <v>1.1000000000000001</v>
      </c>
      <c r="J31" s="26">
        <v>1.6</v>
      </c>
      <c r="K31" s="27" t="s">
        <v>337</v>
      </c>
      <c r="L31" s="27" t="s">
        <v>338</v>
      </c>
      <c r="M31" s="27" t="str">
        <f>IFERROR(VLOOKUP($O31,Lookups!$AA$3:$AB$14,2,FALSE),"")&amp;" "&amp;IFERROR(VLOOKUP($P31,Lookups!$AA$3:$AB$14,2,FALSE),"")</f>
        <v xml:space="preserve">The weekly hours are the hours that the majority of the building is open to serve the public. </v>
      </c>
      <c r="N31" s="16"/>
      <c r="O31" s="24">
        <v>4</v>
      </c>
      <c r="P31" s="24"/>
      <c r="Q31" s="24"/>
      <c r="R31" s="24"/>
      <c r="S31" s="24"/>
      <c r="T31" s="16"/>
      <c r="U31" s="24"/>
      <c r="V31" s="24"/>
      <c r="W31" s="24"/>
      <c r="X31" s="16"/>
      <c r="Y31" s="16"/>
      <c r="Z31" s="16"/>
      <c r="AA31" s="16"/>
      <c r="AB31" s="16"/>
      <c r="AC31" s="16"/>
      <c r="AD31" s="16"/>
      <c r="AE31" s="24" t="s">
        <v>339</v>
      </c>
      <c r="AF31" s="24" t="s">
        <v>190</v>
      </c>
      <c r="AG31" s="16"/>
      <c r="AH31" s="16"/>
      <c r="AI31" s="20" t="str">
        <f>IFERROR(IF(VLOOKUP('EUIt Sheet'!$C31,Lookups!$A$3:$V$116,21,FALSE)="","Regular",VLOOKUP('EUIt Sheet'!$C31,Lookups!$A$3:$V$116,21,FALSE)),"")</f>
        <v/>
      </c>
      <c r="AJ31" s="169" t="str">
        <f>IF(AL31&gt;=35000,IF(Lookups!AI31="Special Tier 2","Special Tier 2","Tier 1"),IF(AL31&gt;=20000,IF(Lookups!AI31="Special Tier 2","Not Covered","Regular Tier 2"),"Not Covered"))</f>
        <v>Not Covered</v>
      </c>
      <c r="AK31" s="24" t="str">
        <f>IF(OR('EUIt Sheet'!$G$2="Yes"),IF(IFERROR(VLOOKUP("Special Tier 2",$AJ$10:$AL$70,3,FALSE),0)&gt;0,IF(AJ31="Tier 1","Extended Tier 2",AJ31),AJ31),AJ31)</f>
        <v>Not Covered</v>
      </c>
      <c r="AL31" s="33">
        <f>'EUIt Sheet'!D31</f>
        <v>0</v>
      </c>
      <c r="AM31" s="16"/>
      <c r="AN31" s="16"/>
      <c r="AO31" s="16"/>
      <c r="AP31" s="16"/>
      <c r="AQ31" s="16"/>
      <c r="AR31" s="16"/>
      <c r="AS31" s="16"/>
      <c r="AT31" s="16"/>
      <c r="AU31" s="17"/>
      <c r="AV31" s="17"/>
      <c r="AW31" s="17"/>
      <c r="AX31" s="17"/>
      <c r="AY31" s="17"/>
      <c r="AZ31" s="17"/>
      <c r="BA31" s="17"/>
      <c r="BB31" s="17"/>
      <c r="BC31" s="17"/>
      <c r="BD31" s="17"/>
      <c r="BE31" s="17"/>
      <c r="BF31" s="17"/>
      <c r="BG31" s="17"/>
      <c r="BH31" s="29"/>
      <c r="BI31" s="29"/>
    </row>
    <row r="32" spans="1:74" customFormat="1" ht="100" customHeight="1" x14ac:dyDescent="0.35">
      <c r="A32" s="21" t="str">
        <f t="shared" si="1"/>
        <v>30: Entertainment / public assembly | Other-entertainment / public assembly | Other public assembly</v>
      </c>
      <c r="B32" s="24">
        <v>30</v>
      </c>
      <c r="C32" s="25" t="s">
        <v>250</v>
      </c>
      <c r="D32" s="25" t="s">
        <v>332</v>
      </c>
      <c r="E32" s="25" t="s">
        <v>340</v>
      </c>
      <c r="F32" s="24">
        <v>50</v>
      </c>
      <c r="G32" s="24">
        <v>54</v>
      </c>
      <c r="H32" s="26">
        <v>0.6</v>
      </c>
      <c r="I32" s="26">
        <v>1.1000000000000001</v>
      </c>
      <c r="J32" s="26">
        <v>1.6</v>
      </c>
      <c r="K32" s="27" t="s">
        <v>341</v>
      </c>
      <c r="L32" s="27" t="s">
        <v>342</v>
      </c>
      <c r="M32" s="27" t="str">
        <f>IFERROR(VLOOKUP($O32,Lookups!$AA$3:$AB$14,2,FALSE),"")&amp;" "&amp;IFERROR(VLOOKUP($P32,Lookups!$AA$3:$AB$14,2,FALSE),"")</f>
        <v xml:space="preserve">The weekly hours are the hours that the majority of the building is open to serve the public. </v>
      </c>
      <c r="N32" s="16"/>
      <c r="O32" s="24">
        <v>4</v>
      </c>
      <c r="P32" s="24"/>
      <c r="Q32" s="24"/>
      <c r="R32" s="24"/>
      <c r="S32" s="24"/>
      <c r="T32" s="16"/>
      <c r="U32" s="24"/>
      <c r="V32" s="24"/>
      <c r="W32" s="24"/>
      <c r="X32" s="16"/>
      <c r="Y32" s="16"/>
      <c r="Z32" s="16"/>
      <c r="AA32" s="16"/>
      <c r="AB32" s="16"/>
      <c r="AC32" s="16"/>
      <c r="AD32" s="16"/>
      <c r="AE32" s="24" t="s">
        <v>343</v>
      </c>
      <c r="AF32" s="24" t="s">
        <v>182</v>
      </c>
      <c r="AG32" s="16"/>
      <c r="AH32" s="16"/>
      <c r="AI32" s="20" t="str">
        <f>IFERROR(IF(VLOOKUP('EUIt Sheet'!$C32,Lookups!$A$3:$V$116,21,FALSE)="","Regular",VLOOKUP('EUIt Sheet'!$C32,Lookups!$A$3:$V$116,21,FALSE)),"")</f>
        <v/>
      </c>
      <c r="AJ32" s="169" t="str">
        <f>IF(AL32&gt;=35000,IF(Lookups!AI32="Special Tier 2","Special Tier 2","Tier 1"),IF(AL32&gt;=20000,IF(Lookups!AI32="Special Tier 2","Not Covered","Regular Tier 2"),"Not Covered"))</f>
        <v>Not Covered</v>
      </c>
      <c r="AK32" s="24" t="str">
        <f>IF(OR('EUIt Sheet'!$G$2="Yes"),IF(IFERROR(VLOOKUP("Special Tier 2",$AJ$10:$AL$70,3,FALSE),0)&gt;0,IF(AJ32="Tier 1","Extended Tier 2",AJ32),AJ32),AJ32)</f>
        <v>Not Covered</v>
      </c>
      <c r="AL32" s="33">
        <f>'EUIt Sheet'!D32</f>
        <v>0</v>
      </c>
      <c r="AM32" s="16"/>
      <c r="AN32" s="16"/>
      <c r="AO32" s="16"/>
      <c r="AP32" s="16"/>
      <c r="AQ32" s="16"/>
      <c r="AR32" s="16"/>
      <c r="AS32" s="16"/>
      <c r="AT32" s="16"/>
      <c r="AU32" s="17"/>
      <c r="AV32" s="17"/>
      <c r="AW32" s="17"/>
      <c r="AX32" s="17"/>
      <c r="AY32" s="17"/>
      <c r="AZ32" s="17"/>
      <c r="BA32" s="17"/>
      <c r="BB32" s="17"/>
      <c r="BC32" s="17"/>
      <c r="BD32" s="17"/>
      <c r="BE32" s="17"/>
      <c r="BF32" s="17"/>
      <c r="BG32" s="17"/>
      <c r="BH32" s="29"/>
      <c r="BI32" s="29"/>
    </row>
    <row r="33" spans="1:61" customFormat="1" ht="100" customHeight="1" x14ac:dyDescent="0.35">
      <c r="A33" s="21" t="str">
        <f t="shared" si="1"/>
        <v>31: Entertainment / public assembly | Other-entertainment / public assembly | Recreation</v>
      </c>
      <c r="B33" s="24">
        <v>31</v>
      </c>
      <c r="C33" s="25" t="s">
        <v>250</v>
      </c>
      <c r="D33" s="25" t="s">
        <v>332</v>
      </c>
      <c r="E33" s="25" t="s">
        <v>344</v>
      </c>
      <c r="F33" s="24">
        <v>82</v>
      </c>
      <c r="G33" s="24">
        <v>88</v>
      </c>
      <c r="H33" s="26">
        <v>0.6</v>
      </c>
      <c r="I33" s="26">
        <v>1.1000000000000001</v>
      </c>
      <c r="J33" s="26">
        <v>1.6</v>
      </c>
      <c r="K33" s="27" t="s">
        <v>345</v>
      </c>
      <c r="L33" s="27" t="s">
        <v>346</v>
      </c>
      <c r="M33" s="27" t="str">
        <f>IFERROR(VLOOKUP($O33,Lookups!$AA$3:$AB$14,2,FALSE),"")&amp;" "&amp;IFERROR(VLOOKUP($P33,Lookups!$AA$3:$AB$14,2,FALSE),"")</f>
        <v xml:space="preserve">The weekly hours are the hours that the majority of the building is open to serve the public. </v>
      </c>
      <c r="N33" s="16"/>
      <c r="O33" s="24">
        <v>4</v>
      </c>
      <c r="P33" s="24"/>
      <c r="Q33" s="24"/>
      <c r="R33" s="24"/>
      <c r="S33" s="24"/>
      <c r="T33" s="16"/>
      <c r="U33" s="24"/>
      <c r="V33" s="24"/>
      <c r="W33" s="24"/>
      <c r="X33" s="16"/>
      <c r="Y33" s="16"/>
      <c r="Z33" s="16"/>
      <c r="AA33" s="16"/>
      <c r="AB33" s="16"/>
      <c r="AC33" s="16"/>
      <c r="AD33" s="16"/>
      <c r="AE33" s="24" t="s">
        <v>347</v>
      </c>
      <c r="AF33" s="24" t="s">
        <v>182</v>
      </c>
      <c r="AG33" s="16"/>
      <c r="AH33" s="16"/>
      <c r="AI33" s="20" t="str">
        <f>IFERROR(IF(VLOOKUP('EUIt Sheet'!$C33,Lookups!$A$3:$V$116,21,FALSE)="","Regular",VLOOKUP('EUIt Sheet'!$C33,Lookups!$A$3:$V$116,21,FALSE)),"")</f>
        <v/>
      </c>
      <c r="AJ33" s="169" t="str">
        <f>IF(AL33&gt;=35000,IF(Lookups!AI33="Special Tier 2","Special Tier 2","Tier 1"),IF(AL33&gt;=20000,IF(Lookups!AI33="Special Tier 2","Not Covered","Regular Tier 2"),"Not Covered"))</f>
        <v>Not Covered</v>
      </c>
      <c r="AK33" s="24" t="str">
        <f>IF(OR('EUIt Sheet'!$G$2="Yes"),IF(IFERROR(VLOOKUP("Special Tier 2",$AJ$10:$AL$70,3,FALSE),0)&gt;0,IF(AJ33="Tier 1","Extended Tier 2",AJ33),AJ33),AJ33)</f>
        <v>Not Covered</v>
      </c>
      <c r="AL33" s="33">
        <f>'EUIt Sheet'!D33</f>
        <v>0</v>
      </c>
      <c r="AM33" s="16"/>
      <c r="AN33" s="16"/>
      <c r="AO33" s="16"/>
      <c r="AP33" s="16"/>
      <c r="AQ33" s="16"/>
      <c r="AR33" s="16"/>
      <c r="AS33" s="16"/>
      <c r="AT33" s="16"/>
      <c r="AU33" s="17"/>
      <c r="AV33" s="17"/>
      <c r="AW33" s="17"/>
      <c r="AX33" s="17"/>
      <c r="AY33" s="17"/>
      <c r="AZ33" s="17"/>
      <c r="BA33" s="17"/>
      <c r="BB33" s="17"/>
      <c r="BC33" s="17"/>
      <c r="BD33" s="17"/>
      <c r="BE33" s="17"/>
      <c r="BF33" s="17"/>
      <c r="BG33" s="17"/>
      <c r="BH33" s="29"/>
      <c r="BI33" s="29"/>
    </row>
    <row r="34" spans="1:61" customFormat="1" ht="100" customHeight="1" x14ac:dyDescent="0.35">
      <c r="A34" s="21" t="str">
        <f t="shared" si="1"/>
        <v>32: Entertainment / public assembly | Other-entertainment / public assembly | Social / meeting hall</v>
      </c>
      <c r="B34" s="24">
        <v>32</v>
      </c>
      <c r="C34" s="25" t="s">
        <v>250</v>
      </c>
      <c r="D34" s="25" t="s">
        <v>332</v>
      </c>
      <c r="E34" s="25" t="s">
        <v>313</v>
      </c>
      <c r="F34" s="24">
        <v>63</v>
      </c>
      <c r="G34" s="24">
        <v>65</v>
      </c>
      <c r="H34" s="26">
        <v>0.6</v>
      </c>
      <c r="I34" s="26">
        <v>1.1000000000000001</v>
      </c>
      <c r="J34" s="26">
        <v>1.6</v>
      </c>
      <c r="K34" s="27" t="s">
        <v>314</v>
      </c>
      <c r="L34" s="27" t="s">
        <v>315</v>
      </c>
      <c r="M34" s="27" t="str">
        <f>IFERROR(VLOOKUP($O34,Lookups!$AA$3:$AB$14,2,FALSE),"")&amp;" "&amp;IFERROR(VLOOKUP($P34,Lookups!$AA$3:$AB$14,2,FALSE),"")</f>
        <v xml:space="preserve">The weekly hours are the hours that the majority of the building is open to serve the public. </v>
      </c>
      <c r="N34" s="16"/>
      <c r="O34" s="24">
        <v>4</v>
      </c>
      <c r="P34" s="24"/>
      <c r="Q34" s="24"/>
      <c r="R34" s="24"/>
      <c r="S34" s="24"/>
      <c r="T34" s="16"/>
      <c r="U34" s="24"/>
      <c r="V34" s="24"/>
      <c r="W34" s="24"/>
      <c r="X34" s="16"/>
      <c r="Y34" s="16"/>
      <c r="Z34" s="16"/>
      <c r="AA34" s="16"/>
      <c r="AB34" s="16"/>
      <c r="AC34" s="16"/>
      <c r="AD34" s="16"/>
      <c r="AE34" s="24" t="s">
        <v>348</v>
      </c>
      <c r="AF34" s="24" t="s">
        <v>182</v>
      </c>
      <c r="AG34" s="16"/>
      <c r="AH34" s="16"/>
      <c r="AI34" s="20" t="str">
        <f>IFERROR(IF(VLOOKUP('EUIt Sheet'!$C34,Lookups!$A$3:$V$116,21,FALSE)="","Regular",VLOOKUP('EUIt Sheet'!$C34,Lookups!$A$3:$V$116,21,FALSE)),"")</f>
        <v/>
      </c>
      <c r="AJ34" s="169" t="str">
        <f>IF(AL34&gt;=35000,IF(Lookups!AI34="Special Tier 2","Special Tier 2","Tier 1"),IF(AL34&gt;=20000,IF(Lookups!AI34="Special Tier 2","Not Covered","Regular Tier 2"),"Not Covered"))</f>
        <v>Not Covered</v>
      </c>
      <c r="AK34" s="24" t="str">
        <f>IF(OR('EUIt Sheet'!$G$2="Yes"),IF(IFERROR(VLOOKUP("Special Tier 2",$AJ$10:$AL$70,3,FALSE),0)&gt;0,IF(AJ34="Tier 1","Extended Tier 2",AJ34),AJ34),AJ34)</f>
        <v>Not Covered</v>
      </c>
      <c r="AL34" s="33">
        <f>'EUIt Sheet'!D34</f>
        <v>0</v>
      </c>
      <c r="AM34" s="16"/>
      <c r="AN34" s="16"/>
      <c r="AO34" s="16"/>
      <c r="AP34" s="16"/>
      <c r="AQ34" s="16"/>
      <c r="AR34" s="16"/>
      <c r="AS34" s="16"/>
      <c r="AT34" s="16"/>
      <c r="AU34" s="17"/>
      <c r="AV34" s="17"/>
      <c r="AW34" s="17"/>
      <c r="AX34" s="17"/>
      <c r="AY34" s="17"/>
      <c r="AZ34" s="17"/>
      <c r="BA34" s="17"/>
      <c r="BB34" s="17"/>
      <c r="BC34" s="17"/>
      <c r="BD34" s="17"/>
      <c r="BE34" s="17"/>
      <c r="BF34" s="17"/>
      <c r="BG34" s="17"/>
      <c r="BH34" s="29"/>
      <c r="BI34" s="29"/>
    </row>
    <row r="35" spans="1:61" customFormat="1" ht="100" customHeight="1" x14ac:dyDescent="0.35">
      <c r="A35" s="21" t="str">
        <f t="shared" si="1"/>
        <v xml:space="preserve">33: Entertainment / public assembly | Other - recreation | </v>
      </c>
      <c r="B35" s="24">
        <v>33</v>
      </c>
      <c r="C35" s="25" t="s">
        <v>250</v>
      </c>
      <c r="D35" s="25" t="s">
        <v>349</v>
      </c>
      <c r="E35" s="25"/>
      <c r="F35" s="24">
        <v>82</v>
      </c>
      <c r="G35" s="24">
        <v>88</v>
      </c>
      <c r="H35" s="26">
        <v>0.6</v>
      </c>
      <c r="I35" s="26">
        <v>1.1000000000000001</v>
      </c>
      <c r="J35" s="26">
        <v>1.6</v>
      </c>
      <c r="K35" s="27" t="s">
        <v>350</v>
      </c>
      <c r="L35" s="27" t="s">
        <v>346</v>
      </c>
      <c r="M35" s="27" t="str">
        <f>IFERROR(VLOOKUP($O35,Lookups!$AA$3:$AB$14,2,FALSE),"")&amp;" "&amp;IFERROR(VLOOKUP($P35,Lookups!$AA$3:$AB$14,2,FALSE),"")</f>
        <v xml:space="preserve">The weekly hours are the hours that the majority of the building is open to serve the public. </v>
      </c>
      <c r="N35" s="16"/>
      <c r="O35" s="24">
        <v>4</v>
      </c>
      <c r="P35" s="24"/>
      <c r="Q35" s="24"/>
      <c r="R35" s="24"/>
      <c r="S35" s="24"/>
      <c r="T35" s="16"/>
      <c r="U35" s="24"/>
      <c r="V35" s="24"/>
      <c r="W35" s="24"/>
      <c r="X35" s="16"/>
      <c r="Y35" s="16"/>
      <c r="Z35" s="16"/>
      <c r="AA35" s="16"/>
      <c r="AB35" s="16"/>
      <c r="AC35" s="16"/>
      <c r="AD35" s="16"/>
      <c r="AE35" s="24" t="s">
        <v>351</v>
      </c>
      <c r="AF35" s="24" t="s">
        <v>182</v>
      </c>
      <c r="AG35" s="16"/>
      <c r="AH35" s="16"/>
      <c r="AI35" s="20" t="str">
        <f>IFERROR(IF(VLOOKUP('EUIt Sheet'!$C35,Lookups!$A$3:$V$116,21,FALSE)="","Regular",VLOOKUP('EUIt Sheet'!$C35,Lookups!$A$3:$V$116,21,FALSE)),"")</f>
        <v/>
      </c>
      <c r="AJ35" s="169" t="str">
        <f>IF(AL35&gt;=35000,IF(Lookups!AI35="Special Tier 2","Special Tier 2","Tier 1"),IF(AL35&gt;=20000,IF(Lookups!AI35="Special Tier 2","Not Covered","Regular Tier 2"),"Not Covered"))</f>
        <v>Not Covered</v>
      </c>
      <c r="AK35" s="24" t="str">
        <f>IF(OR('EUIt Sheet'!$G$2="Yes"),IF(IFERROR(VLOOKUP("Special Tier 2",$AJ$10:$AL$70,3,FALSE),0)&gt;0,IF(AJ35="Tier 1","Extended Tier 2",AJ35),AJ35),AJ35)</f>
        <v>Not Covered</v>
      </c>
      <c r="AL35" s="33">
        <f>'EUIt Sheet'!D35</f>
        <v>0</v>
      </c>
      <c r="AM35" s="16"/>
      <c r="AN35" s="16"/>
      <c r="AO35" s="16"/>
      <c r="AP35" s="16"/>
      <c r="AQ35" s="16"/>
      <c r="AR35" s="16"/>
      <c r="AS35" s="16"/>
      <c r="AT35" s="16"/>
      <c r="AU35" s="17"/>
      <c r="AV35" s="17"/>
      <c r="AW35" s="17"/>
      <c r="AX35" s="17"/>
      <c r="AY35" s="17"/>
      <c r="AZ35" s="17"/>
      <c r="BA35" s="17"/>
      <c r="BB35" s="17"/>
      <c r="BC35" s="17"/>
      <c r="BD35" s="17"/>
      <c r="BE35" s="17"/>
      <c r="BF35" s="17"/>
      <c r="BG35" s="17"/>
      <c r="BH35" s="29"/>
      <c r="BI35" s="29"/>
    </row>
    <row r="36" spans="1:61" customFormat="1" ht="100" customHeight="1" x14ac:dyDescent="0.35">
      <c r="A36" s="21" t="str">
        <f t="shared" si="1"/>
        <v xml:space="preserve">34: Entertainment / public assembly | Other - stadium | </v>
      </c>
      <c r="B36" s="24">
        <v>34</v>
      </c>
      <c r="C36" s="25" t="s">
        <v>250</v>
      </c>
      <c r="D36" s="25" t="s">
        <v>352</v>
      </c>
      <c r="E36" s="25"/>
      <c r="F36" s="24">
        <v>88</v>
      </c>
      <c r="G36" s="24">
        <v>91</v>
      </c>
      <c r="H36" s="26">
        <v>0.6</v>
      </c>
      <c r="I36" s="26">
        <v>1.1000000000000001</v>
      </c>
      <c r="J36" s="26">
        <v>1.6</v>
      </c>
      <c r="K36" s="27" t="s">
        <v>353</v>
      </c>
      <c r="L36" s="27" t="s">
        <v>354</v>
      </c>
      <c r="M36" s="27" t="str">
        <f>IFERROR(VLOOKUP($O36,Lookups!$AA$3:$AB$14,2,FALSE),"")&amp;" "&amp;IFERROR(VLOOKUP($P36,Lookups!$AA$3:$AB$14,2,FALSE),"")</f>
        <v xml:space="preserve">The weekly hours are the hours that the majority of the building is open to serve the public. </v>
      </c>
      <c r="N36" s="16"/>
      <c r="O36" s="24">
        <v>4</v>
      </c>
      <c r="P36" s="24"/>
      <c r="Q36" s="24"/>
      <c r="R36" s="24"/>
      <c r="S36" s="24"/>
      <c r="T36" s="16"/>
      <c r="U36" s="24"/>
      <c r="V36" s="24"/>
      <c r="W36" s="24"/>
      <c r="X36" s="16"/>
      <c r="Y36" s="16"/>
      <c r="Z36" s="16"/>
      <c r="AA36" s="16"/>
      <c r="AB36" s="16"/>
      <c r="AC36" s="16"/>
      <c r="AD36" s="16"/>
      <c r="AE36" s="24" t="s">
        <v>355</v>
      </c>
      <c r="AF36" s="24" t="s">
        <v>190</v>
      </c>
      <c r="AG36" s="16"/>
      <c r="AH36" s="16"/>
      <c r="AI36" s="20" t="str">
        <f>IFERROR(IF(VLOOKUP('EUIt Sheet'!$C36,Lookups!$A$3:$V$116,21,FALSE)="","Regular",VLOOKUP('EUIt Sheet'!$C36,Lookups!$A$3:$V$116,21,FALSE)),"")</f>
        <v/>
      </c>
      <c r="AJ36" s="169" t="str">
        <f>IF(AL36&gt;=35000,IF(Lookups!AI36="Special Tier 2","Special Tier 2","Tier 1"),IF(AL36&gt;=20000,IF(Lookups!AI36="Special Tier 2","Not Covered","Regular Tier 2"),"Not Covered"))</f>
        <v>Not Covered</v>
      </c>
      <c r="AK36" s="24" t="str">
        <f>IF(OR('EUIt Sheet'!$G$2="Yes"),IF(IFERROR(VLOOKUP("Special Tier 2",$AJ$10:$AL$70,3,FALSE),0)&gt;0,IF(AJ36="Tier 1","Extended Tier 2",AJ36),AJ36),AJ36)</f>
        <v>Not Covered</v>
      </c>
      <c r="AL36" s="33">
        <f>'EUIt Sheet'!D36</f>
        <v>0</v>
      </c>
      <c r="AM36" s="16"/>
      <c r="AN36" s="16"/>
      <c r="AO36" s="16"/>
      <c r="AP36" s="16"/>
      <c r="AQ36" s="16"/>
      <c r="AR36" s="16"/>
      <c r="AS36" s="16"/>
      <c r="AT36" s="16"/>
      <c r="AU36" s="17"/>
      <c r="AV36" s="17"/>
      <c r="AW36" s="17"/>
      <c r="AX36" s="17"/>
      <c r="AY36" s="17"/>
      <c r="AZ36" s="17"/>
      <c r="BA36" s="17"/>
      <c r="BB36" s="17"/>
      <c r="BC36" s="17"/>
      <c r="BD36" s="17"/>
      <c r="BE36" s="17"/>
      <c r="BF36" s="17"/>
      <c r="BG36" s="17"/>
      <c r="BH36" s="29"/>
      <c r="BI36" s="29"/>
    </row>
    <row r="37" spans="1:61" customFormat="1" ht="100" customHeight="1" x14ac:dyDescent="0.35">
      <c r="A37" s="21" t="str">
        <f t="shared" si="1"/>
        <v xml:space="preserve">35: Food sales and service | Bar / nightclub | </v>
      </c>
      <c r="B37" s="24">
        <v>35</v>
      </c>
      <c r="C37" s="25" t="s">
        <v>356</v>
      </c>
      <c r="D37" s="25" t="s">
        <v>259</v>
      </c>
      <c r="E37" s="25"/>
      <c r="F37" s="24">
        <v>281</v>
      </c>
      <c r="G37" s="24">
        <v>293</v>
      </c>
      <c r="H37" s="26">
        <v>0.6</v>
      </c>
      <c r="I37" s="26">
        <v>1.1000000000000001</v>
      </c>
      <c r="J37" s="26">
        <v>1.5</v>
      </c>
      <c r="K37" s="27" t="s">
        <v>357</v>
      </c>
      <c r="L37" s="27" t="s">
        <v>358</v>
      </c>
      <c r="M37" s="27" t="str">
        <f>IFERROR(VLOOKUP($O37,Lookups!$AA$3:$AB$14,2,FALSE),"")&amp;" "&amp;IFERROR(VLOOKUP($P37,Lookups!$AA$3:$AB$14,2,FALSE),"")</f>
        <v xml:space="preserve">The weekly hours are the hours that the majority of the building is open to serve the public. </v>
      </c>
      <c r="N37" s="16"/>
      <c r="O37" s="24">
        <v>4</v>
      </c>
      <c r="P37" s="24"/>
      <c r="Q37" s="24"/>
      <c r="R37" s="24"/>
      <c r="S37" s="24"/>
      <c r="T37" s="16"/>
      <c r="U37" s="24"/>
      <c r="V37" s="24"/>
      <c r="W37" s="24"/>
      <c r="X37" s="16"/>
      <c r="Y37" s="16"/>
      <c r="Z37" s="16"/>
      <c r="AA37" s="16"/>
      <c r="AB37" s="16"/>
      <c r="AC37" s="16"/>
      <c r="AD37" s="16"/>
      <c r="AE37" s="24" t="s">
        <v>359</v>
      </c>
      <c r="AF37" s="24" t="s">
        <v>182</v>
      </c>
      <c r="AG37" s="16"/>
      <c r="AH37" s="16"/>
      <c r="AI37" s="20" t="str">
        <f>IFERROR(IF(VLOOKUP('EUIt Sheet'!$C37,Lookups!$A$3:$V$116,21,FALSE)="","Regular",VLOOKUP('EUIt Sheet'!$C37,Lookups!$A$3:$V$116,21,FALSE)),"")</f>
        <v/>
      </c>
      <c r="AJ37" s="169" t="str">
        <f>IF(AL37&gt;=35000,IF(Lookups!AI37="Special Tier 2","Special Tier 2","Tier 1"),IF(AL37&gt;=20000,IF(Lookups!AI37="Special Tier 2","Not Covered","Regular Tier 2"),"Not Covered"))</f>
        <v>Not Covered</v>
      </c>
      <c r="AK37" s="24" t="str">
        <f>IF(OR('EUIt Sheet'!$G$2="Yes"),IF(IFERROR(VLOOKUP("Special Tier 2",$AJ$10:$AL$70,3,FALSE),0)&gt;0,IF(AJ37="Tier 1","Extended Tier 2",AJ37),AJ37),AJ37)</f>
        <v>Not Covered</v>
      </c>
      <c r="AL37" s="33">
        <f>'EUIt Sheet'!D37</f>
        <v>0</v>
      </c>
      <c r="AM37" s="16"/>
      <c r="AN37" s="16"/>
      <c r="AO37" s="16"/>
      <c r="AP37" s="16"/>
      <c r="AQ37" s="16"/>
      <c r="AR37" s="16"/>
      <c r="AS37" s="16"/>
      <c r="AT37" s="16"/>
      <c r="AU37" s="17"/>
      <c r="AV37" s="17"/>
      <c r="AW37" s="17"/>
      <c r="AX37" s="17"/>
      <c r="AY37" s="17"/>
      <c r="AZ37" s="17"/>
      <c r="BA37" s="17"/>
      <c r="BB37" s="17"/>
      <c r="BC37" s="17"/>
      <c r="BD37" s="17"/>
      <c r="BE37" s="17"/>
      <c r="BF37" s="17"/>
      <c r="BG37" s="17"/>
      <c r="BH37" s="29"/>
      <c r="BI37" s="29"/>
    </row>
    <row r="38" spans="1:61" customFormat="1" ht="100" customHeight="1" x14ac:dyDescent="0.35">
      <c r="A38" s="21" t="str">
        <f t="shared" si="1"/>
        <v xml:space="preserve">36: Food sales and service | Convenience store with gas station | </v>
      </c>
      <c r="B38" s="24">
        <v>36</v>
      </c>
      <c r="C38" s="25" t="s">
        <v>356</v>
      </c>
      <c r="D38" s="25" t="s">
        <v>360</v>
      </c>
      <c r="E38" s="25"/>
      <c r="F38" s="24">
        <v>179</v>
      </c>
      <c r="G38" s="24">
        <v>185</v>
      </c>
      <c r="H38" s="26">
        <v>0.5</v>
      </c>
      <c r="I38" s="26">
        <v>0.9</v>
      </c>
      <c r="J38" s="26">
        <v>1.3</v>
      </c>
      <c r="K38" s="27" t="s">
        <v>361</v>
      </c>
      <c r="L38" s="27" t="s">
        <v>362</v>
      </c>
      <c r="M38" s="27" t="str">
        <f>IFERROR(VLOOKUP($O38,Lookups!$AA$3:$AB$14,2,FALSE),"")&amp;" "&amp;IFERROR(VLOOKUP($P38,Lookups!$AA$3:$AB$14,2,FALSE),"")</f>
        <v xml:space="preserve">The weekly hours are the hours that the majority of the building is open to serve the public. </v>
      </c>
      <c r="N38" s="16"/>
      <c r="O38" s="24">
        <v>4</v>
      </c>
      <c r="P38" s="24"/>
      <c r="Q38" s="24"/>
      <c r="R38" s="24"/>
      <c r="S38" s="24"/>
      <c r="T38" s="16"/>
      <c r="U38" s="24"/>
      <c r="V38" s="24"/>
      <c r="W38" s="24"/>
      <c r="X38" s="16"/>
      <c r="Y38" s="16"/>
      <c r="Z38" s="16"/>
      <c r="AA38" s="16"/>
      <c r="AB38" s="16"/>
      <c r="AC38" s="16"/>
      <c r="AD38" s="16"/>
      <c r="AE38" s="24" t="s">
        <v>363</v>
      </c>
      <c r="AF38" s="24" t="s">
        <v>190</v>
      </c>
      <c r="AG38" s="16"/>
      <c r="AH38" s="16"/>
      <c r="AI38" s="20" t="str">
        <f>IFERROR(IF(VLOOKUP('EUIt Sheet'!$C38,Lookups!$A$3:$V$116,21,FALSE)="","Regular",VLOOKUP('EUIt Sheet'!$C38,Lookups!$A$3:$V$116,21,FALSE)),"")</f>
        <v/>
      </c>
      <c r="AJ38" s="169" t="str">
        <f>IF(AL38&gt;=35000,IF(Lookups!AI38="Special Tier 2","Special Tier 2","Tier 1"),IF(AL38&gt;=20000,IF(Lookups!AI38="Special Tier 2","Not Covered","Regular Tier 2"),"Not Covered"))</f>
        <v>Not Covered</v>
      </c>
      <c r="AK38" s="24" t="str">
        <f>IF(OR('EUIt Sheet'!$G$2="Yes"),IF(IFERROR(VLOOKUP("Special Tier 2",$AJ$10:$AL$70,3,FALSE),0)&gt;0,IF(AJ38="Tier 1","Extended Tier 2",AJ38),AJ38),AJ38)</f>
        <v>Not Covered</v>
      </c>
      <c r="AL38" s="33">
        <f>'EUIt Sheet'!D38</f>
        <v>0</v>
      </c>
      <c r="AM38" s="16"/>
      <c r="AN38" s="16"/>
      <c r="AO38" s="16"/>
      <c r="AP38" s="16"/>
      <c r="AQ38" s="16"/>
      <c r="AR38" s="16"/>
      <c r="AS38" s="16"/>
      <c r="AT38" s="16"/>
      <c r="AU38" s="17"/>
      <c r="AV38" s="17"/>
      <c r="AW38" s="17"/>
      <c r="AX38" s="17"/>
      <c r="AY38" s="17"/>
      <c r="AZ38" s="17"/>
      <c r="BA38" s="17"/>
      <c r="BB38" s="17"/>
      <c r="BC38" s="17"/>
      <c r="BD38" s="17"/>
      <c r="BE38" s="17"/>
      <c r="BF38" s="17"/>
      <c r="BG38" s="17"/>
      <c r="BH38" s="29"/>
      <c r="BI38" s="29"/>
    </row>
    <row r="39" spans="1:61" customFormat="1" ht="100" customHeight="1" x14ac:dyDescent="0.35">
      <c r="A39" s="21" t="str">
        <f t="shared" si="1"/>
        <v xml:space="preserve">37: Food sales and service | Convenience store without gas station | </v>
      </c>
      <c r="B39" s="24">
        <v>37</v>
      </c>
      <c r="C39" s="25" t="s">
        <v>356</v>
      </c>
      <c r="D39" s="25" t="s">
        <v>364</v>
      </c>
      <c r="E39" s="25"/>
      <c r="F39" s="24">
        <v>179</v>
      </c>
      <c r="G39" s="24">
        <v>185</v>
      </c>
      <c r="H39" s="26">
        <v>0.5</v>
      </c>
      <c r="I39" s="26">
        <v>0.9</v>
      </c>
      <c r="J39" s="26">
        <v>1.3</v>
      </c>
      <c r="K39" s="27" t="s">
        <v>365</v>
      </c>
      <c r="L39" s="27" t="s">
        <v>366</v>
      </c>
      <c r="M39" s="27" t="str">
        <f>IFERROR(VLOOKUP($O39,Lookups!$AA$3:$AB$14,2,FALSE),"")&amp;" "&amp;IFERROR(VLOOKUP($P39,Lookups!$AA$3:$AB$14,2,FALSE),"")</f>
        <v xml:space="preserve">The weekly hours are the hours that the majority of the building is open to serve the public. </v>
      </c>
      <c r="N39" s="16"/>
      <c r="O39" s="24">
        <v>4</v>
      </c>
      <c r="P39" s="24"/>
      <c r="Q39" s="24"/>
      <c r="R39" s="24"/>
      <c r="S39" s="24"/>
      <c r="T39" s="16"/>
      <c r="U39" s="24"/>
      <c r="V39" s="24"/>
      <c r="W39" s="24"/>
      <c r="X39" s="16"/>
      <c r="Y39" s="16"/>
      <c r="Z39" s="16"/>
      <c r="AA39" s="16"/>
      <c r="AB39" s="16"/>
      <c r="AC39" s="16"/>
      <c r="AD39" s="16"/>
      <c r="AE39" s="16"/>
      <c r="AF39" s="16"/>
      <c r="AG39" s="16"/>
      <c r="AH39" s="16"/>
      <c r="AI39" s="20" t="str">
        <f>IFERROR(IF(VLOOKUP('EUIt Sheet'!$C39,Lookups!$A$3:$V$116,21,FALSE)="","Regular",VLOOKUP('EUIt Sheet'!$C39,Lookups!$A$3:$V$116,21,FALSE)),"")</f>
        <v/>
      </c>
      <c r="AJ39" s="169" t="str">
        <f>IF(AL39&gt;=35000,IF(Lookups!AI39="Special Tier 2","Special Tier 2","Tier 1"),IF(AL39&gt;=20000,IF(Lookups!AI39="Special Tier 2","Not Covered","Regular Tier 2"),"Not Covered"))</f>
        <v>Not Covered</v>
      </c>
      <c r="AK39" s="24" t="str">
        <f>IF(OR('EUIt Sheet'!$G$2="Yes"),IF(IFERROR(VLOOKUP("Special Tier 2",$AJ$10:$AL$70,3,FALSE),0)&gt;0,IF(AJ39="Tier 1","Extended Tier 2",AJ39),AJ39),AJ39)</f>
        <v>Not Covered</v>
      </c>
      <c r="AL39" s="33">
        <f>'EUIt Sheet'!D39</f>
        <v>0</v>
      </c>
      <c r="AM39" s="16"/>
      <c r="AN39" s="16"/>
      <c r="AO39" s="16"/>
      <c r="AP39" s="16"/>
      <c r="AQ39" s="16"/>
      <c r="AR39" s="16"/>
      <c r="AS39" s="16"/>
      <c r="AT39" s="16"/>
      <c r="AU39" s="17"/>
      <c r="AV39" s="17"/>
      <c r="AW39" s="17"/>
      <c r="AX39" s="17"/>
      <c r="AY39" s="17"/>
      <c r="AZ39" s="17"/>
      <c r="BA39" s="17"/>
      <c r="BB39" s="17"/>
      <c r="BC39" s="17"/>
      <c r="BD39" s="17"/>
      <c r="BE39" s="17"/>
      <c r="BF39" s="17"/>
      <c r="BG39" s="17"/>
      <c r="BH39" s="29"/>
      <c r="BI39" s="29"/>
    </row>
    <row r="40" spans="1:61" customFormat="1" ht="100" customHeight="1" x14ac:dyDescent="0.35">
      <c r="A40" s="21" t="str">
        <f t="shared" si="1"/>
        <v xml:space="preserve">38: Food sales and service | Fast food restaurant | </v>
      </c>
      <c r="B40" s="24">
        <v>38</v>
      </c>
      <c r="C40" s="25" t="s">
        <v>356</v>
      </c>
      <c r="D40" s="25" t="s">
        <v>367</v>
      </c>
      <c r="E40" s="25"/>
      <c r="F40" s="24">
        <v>308</v>
      </c>
      <c r="G40" s="24">
        <v>326</v>
      </c>
      <c r="H40" s="26">
        <v>0.6</v>
      </c>
      <c r="I40" s="26">
        <v>1.1000000000000001</v>
      </c>
      <c r="J40" s="26">
        <v>1.5</v>
      </c>
      <c r="K40" s="27" t="s">
        <v>368</v>
      </c>
      <c r="L40" s="27" t="s">
        <v>369</v>
      </c>
      <c r="M40" s="27" t="str">
        <f>IFERROR(VLOOKUP($O40,Lookups!$AA$3:$AB$14,2,FALSE),"")&amp;" "&amp;IFERROR(VLOOKUP($P40,Lookups!$AA$3:$AB$14,2,FALSE),"")</f>
        <v xml:space="preserve">The weekly hours are the hours that the majority of the building is open to serve the public. </v>
      </c>
      <c r="N40" s="16"/>
      <c r="O40" s="24">
        <v>4</v>
      </c>
      <c r="P40" s="24"/>
      <c r="Q40" s="24"/>
      <c r="R40" s="24"/>
      <c r="S40" s="24"/>
      <c r="T40" s="16"/>
      <c r="U40" s="24"/>
      <c r="V40" s="24"/>
      <c r="W40" s="24"/>
      <c r="X40" s="16"/>
      <c r="Y40" s="16"/>
      <c r="Z40" s="16"/>
      <c r="AA40" s="16"/>
      <c r="AB40" s="16"/>
      <c r="AC40" s="16"/>
      <c r="AD40" s="16"/>
      <c r="AE40" s="16"/>
      <c r="AF40" s="16"/>
      <c r="AG40" s="16"/>
      <c r="AH40" s="16"/>
      <c r="AI40" s="20" t="str">
        <f>IFERROR(IF(VLOOKUP('EUIt Sheet'!$C40,Lookups!$A$3:$V$116,21,FALSE)="","Regular",VLOOKUP('EUIt Sheet'!$C40,Lookups!$A$3:$V$116,21,FALSE)),"")</f>
        <v/>
      </c>
      <c r="AJ40" s="169" t="str">
        <f>IF(AL40&gt;=35000,IF(Lookups!AI40="Special Tier 2","Special Tier 2","Tier 1"),IF(AL40&gt;=20000,IF(Lookups!AI40="Special Tier 2","Not Covered","Regular Tier 2"),"Not Covered"))</f>
        <v>Not Covered</v>
      </c>
      <c r="AK40" s="24" t="str">
        <f>IF(OR('EUIt Sheet'!$G$2="Yes"),IF(IFERROR(VLOOKUP("Special Tier 2",$AJ$10:$AL$70,3,FALSE),0)&gt;0,IF(AJ40="Tier 1","Extended Tier 2",AJ40),AJ40),AJ40)</f>
        <v>Not Covered</v>
      </c>
      <c r="AL40" s="33">
        <f>'EUIt Sheet'!D40</f>
        <v>0</v>
      </c>
      <c r="AM40" s="16"/>
      <c r="AN40" s="16"/>
      <c r="AO40" s="16"/>
      <c r="AP40" s="16"/>
      <c r="AQ40" s="16"/>
      <c r="AR40" s="16"/>
      <c r="AS40" s="16"/>
      <c r="AT40" s="16"/>
      <c r="AU40" s="17"/>
      <c r="AV40" s="17"/>
      <c r="AW40" s="17"/>
      <c r="AX40" s="17"/>
      <c r="AY40" s="17"/>
      <c r="AZ40" s="17"/>
      <c r="BA40" s="17"/>
      <c r="BB40" s="17"/>
      <c r="BC40" s="17"/>
      <c r="BD40" s="17"/>
      <c r="BE40" s="17"/>
      <c r="BF40" s="17"/>
      <c r="BG40" s="17"/>
      <c r="BH40" s="29"/>
      <c r="BI40" s="29"/>
    </row>
    <row r="41" spans="1:61" customFormat="1" ht="100" customHeight="1" x14ac:dyDescent="0.35">
      <c r="A41" s="21" t="str">
        <f t="shared" si="1"/>
        <v>39: Food sales and service | Food sales | Grocery / food market</v>
      </c>
      <c r="B41" s="24">
        <v>39</v>
      </c>
      <c r="C41" s="25" t="s">
        <v>356</v>
      </c>
      <c r="D41" s="25" t="s">
        <v>370</v>
      </c>
      <c r="E41" s="25" t="s">
        <v>371</v>
      </c>
      <c r="F41" s="24">
        <v>153</v>
      </c>
      <c r="G41" s="24">
        <v>157</v>
      </c>
      <c r="H41" s="26">
        <v>0.5</v>
      </c>
      <c r="I41" s="26">
        <v>0.9</v>
      </c>
      <c r="J41" s="26">
        <v>1.3</v>
      </c>
      <c r="K41" s="27" t="s">
        <v>372</v>
      </c>
      <c r="L41" s="27" t="s">
        <v>373</v>
      </c>
      <c r="M41" s="27" t="str">
        <f>IFERROR(VLOOKUP($O41,Lookups!$AA$3:$AB$14,2,FALSE),"")&amp;" "&amp;IFERROR(VLOOKUP($P41,Lookups!$AA$3:$AB$14,2,FALSE),"")</f>
        <v xml:space="preserve">The weekly hours are the hours that the majority of the building is open to serve the public. </v>
      </c>
      <c r="N41" s="16"/>
      <c r="O41" s="24">
        <v>4</v>
      </c>
      <c r="P41" s="24"/>
      <c r="Q41" s="24"/>
      <c r="R41" s="24"/>
      <c r="S41" s="24"/>
      <c r="T41" s="16"/>
      <c r="U41" s="24"/>
      <c r="V41" s="24"/>
      <c r="W41" s="24"/>
      <c r="X41" s="16"/>
      <c r="Y41" s="16"/>
      <c r="Z41" s="16"/>
      <c r="AA41" s="16"/>
      <c r="AB41" s="16"/>
      <c r="AC41" s="16"/>
      <c r="AD41" s="16"/>
      <c r="AE41" s="16"/>
      <c r="AF41" s="16"/>
      <c r="AG41" s="16"/>
      <c r="AH41" s="16"/>
      <c r="AI41" s="20" t="str">
        <f>IFERROR(IF(VLOOKUP('EUIt Sheet'!$C41,Lookups!$A$3:$V$116,21,FALSE)="","Regular",VLOOKUP('EUIt Sheet'!$C41,Lookups!$A$3:$V$116,21,FALSE)),"")</f>
        <v/>
      </c>
      <c r="AJ41" s="169" t="str">
        <f>IF(AL41&gt;=35000,IF(Lookups!AI41="Special Tier 2","Special Tier 2","Tier 1"),IF(AL41&gt;=20000,IF(Lookups!AI41="Special Tier 2","Not Covered","Regular Tier 2"),"Not Covered"))</f>
        <v>Not Covered</v>
      </c>
      <c r="AK41" s="24" t="str">
        <f>IF(OR('EUIt Sheet'!$G$2="Yes"),IF(IFERROR(VLOOKUP("Special Tier 2",$AJ$10:$AL$70,3,FALSE),0)&gt;0,IF(AJ41="Tier 1","Extended Tier 2",AJ41),AJ41),AJ41)</f>
        <v>Not Covered</v>
      </c>
      <c r="AL41" s="33">
        <f>'EUIt Sheet'!D41</f>
        <v>0</v>
      </c>
      <c r="AM41" s="16"/>
      <c r="AN41" s="16"/>
      <c r="AO41" s="16"/>
      <c r="AP41" s="16"/>
      <c r="AQ41" s="16"/>
      <c r="AR41" s="16"/>
      <c r="AS41" s="16"/>
      <c r="AT41" s="16"/>
      <c r="AU41" s="17"/>
      <c r="AV41" s="17"/>
      <c r="AW41" s="17"/>
      <c r="AX41" s="17"/>
      <c r="AY41" s="17"/>
      <c r="AZ41" s="17"/>
      <c r="BA41" s="17"/>
      <c r="BB41" s="17"/>
      <c r="BC41" s="17"/>
      <c r="BD41" s="17"/>
      <c r="BE41" s="17"/>
      <c r="BF41" s="17"/>
      <c r="BG41" s="17"/>
      <c r="BH41" s="29"/>
      <c r="BI41" s="29"/>
    </row>
    <row r="42" spans="1:61" customFormat="1" ht="100" customHeight="1" x14ac:dyDescent="0.35">
      <c r="A42" s="21" t="str">
        <f t="shared" si="1"/>
        <v>40: Food sales and service | Food sales | Convenience store with gas</v>
      </c>
      <c r="B42" s="24">
        <v>40</v>
      </c>
      <c r="C42" s="25" t="s">
        <v>356</v>
      </c>
      <c r="D42" s="25" t="s">
        <v>370</v>
      </c>
      <c r="E42" s="25" t="s">
        <v>374</v>
      </c>
      <c r="F42" s="24">
        <v>179</v>
      </c>
      <c r="G42" s="24">
        <v>185</v>
      </c>
      <c r="H42" s="26">
        <v>0.5</v>
      </c>
      <c r="I42" s="26">
        <v>0.9</v>
      </c>
      <c r="J42" s="26">
        <v>1.3</v>
      </c>
      <c r="K42" s="27" t="s">
        <v>361</v>
      </c>
      <c r="L42" s="27" t="s">
        <v>362</v>
      </c>
      <c r="M42" s="27" t="str">
        <f>IFERROR(VLOOKUP($O42,Lookups!$AA$3:$AB$14,2,FALSE),"")&amp;" "&amp;IFERROR(VLOOKUP($P42,Lookups!$AA$3:$AB$14,2,FALSE),"")</f>
        <v xml:space="preserve">The weekly hours are the hours that the majority of the building is open to serve the public. </v>
      </c>
      <c r="N42" s="16"/>
      <c r="O42" s="24">
        <v>4</v>
      </c>
      <c r="P42" s="24"/>
      <c r="Q42" s="24"/>
      <c r="R42" s="24"/>
      <c r="S42" s="24"/>
      <c r="T42" s="16"/>
      <c r="U42" s="24"/>
      <c r="V42" s="24"/>
      <c r="W42" s="24"/>
      <c r="X42" s="16"/>
      <c r="Y42" s="16"/>
      <c r="Z42" s="16"/>
      <c r="AA42" s="16"/>
      <c r="AB42" s="16"/>
      <c r="AC42" s="16"/>
      <c r="AD42" s="16"/>
      <c r="AE42" s="16"/>
      <c r="AF42" s="16"/>
      <c r="AG42" s="16"/>
      <c r="AH42" s="16"/>
      <c r="AI42" s="20" t="str">
        <f>IFERROR(IF(VLOOKUP('EUIt Sheet'!$C42,Lookups!$A$3:$V$116,21,FALSE)="","Regular",VLOOKUP('EUIt Sheet'!$C42,Lookups!$A$3:$V$116,21,FALSE)),"")</f>
        <v/>
      </c>
      <c r="AJ42" s="169" t="str">
        <f>IF(AL42&gt;=35000,IF(Lookups!AI42="Special Tier 2","Special Tier 2","Tier 1"),IF(AL42&gt;=20000,IF(Lookups!AI42="Special Tier 2","Not Covered","Regular Tier 2"),"Not Covered"))</f>
        <v>Not Covered</v>
      </c>
      <c r="AK42" s="24" t="str">
        <f>IF(OR('EUIt Sheet'!$G$2="Yes"),IF(IFERROR(VLOOKUP("Special Tier 2",$AJ$10:$AL$70,3,FALSE),0)&gt;0,IF(AJ42="Tier 1","Extended Tier 2",AJ42),AJ42),AJ42)</f>
        <v>Not Covered</v>
      </c>
      <c r="AL42" s="33">
        <f>'EUIt Sheet'!D42</f>
        <v>0</v>
      </c>
      <c r="AM42" s="16"/>
      <c r="AN42" s="16"/>
      <c r="AO42" s="16"/>
      <c r="AP42" s="16"/>
      <c r="AQ42" s="16"/>
      <c r="AR42" s="16"/>
      <c r="AS42" s="16"/>
      <c r="AT42" s="16"/>
      <c r="AU42" s="17"/>
      <c r="AV42" s="17"/>
      <c r="AW42" s="17"/>
      <c r="AX42" s="17"/>
      <c r="AY42" s="17"/>
      <c r="AZ42" s="17"/>
      <c r="BA42" s="17"/>
      <c r="BB42" s="17"/>
      <c r="BC42" s="17"/>
      <c r="BD42" s="17"/>
      <c r="BE42" s="17"/>
      <c r="BF42" s="17"/>
      <c r="BG42" s="17"/>
      <c r="BH42" s="29"/>
      <c r="BI42" s="29"/>
    </row>
    <row r="43" spans="1:61" customFormat="1" ht="100" customHeight="1" x14ac:dyDescent="0.35">
      <c r="A43" s="21" t="str">
        <f t="shared" si="1"/>
        <v>41: Food sales and service | Food sales | Convenience store</v>
      </c>
      <c r="B43" s="24">
        <v>41</v>
      </c>
      <c r="C43" s="25" t="s">
        <v>356</v>
      </c>
      <c r="D43" s="25" t="s">
        <v>370</v>
      </c>
      <c r="E43" s="25" t="s">
        <v>375</v>
      </c>
      <c r="F43" s="24">
        <v>179</v>
      </c>
      <c r="G43" s="24">
        <v>185</v>
      </c>
      <c r="H43" s="26">
        <v>0.5</v>
      </c>
      <c r="I43" s="26">
        <v>0.9</v>
      </c>
      <c r="J43" s="26">
        <v>1.3</v>
      </c>
      <c r="K43" s="27" t="s">
        <v>365</v>
      </c>
      <c r="L43" s="27" t="s">
        <v>366</v>
      </c>
      <c r="M43" s="27" t="str">
        <f>IFERROR(VLOOKUP($O43,Lookups!$AA$3:$AB$14,2,FALSE),"")&amp;" "&amp;IFERROR(VLOOKUP($P43,Lookups!$AA$3:$AB$14,2,FALSE),"")</f>
        <v xml:space="preserve">The weekly hours are the hours that the majority of the building is open to serve the public. </v>
      </c>
      <c r="N43" s="16"/>
      <c r="O43" s="24">
        <v>4</v>
      </c>
      <c r="P43" s="24"/>
      <c r="Q43" s="24"/>
      <c r="R43" s="24"/>
      <c r="S43" s="24"/>
      <c r="T43" s="16"/>
      <c r="U43" s="24"/>
      <c r="V43" s="24"/>
      <c r="W43" s="24"/>
      <c r="X43" s="16"/>
      <c r="Y43" s="16"/>
      <c r="Z43" s="16"/>
      <c r="AA43" s="16"/>
      <c r="AB43" s="16"/>
      <c r="AC43" s="16"/>
      <c r="AD43" s="16"/>
      <c r="AE43" s="16"/>
      <c r="AF43" s="16"/>
      <c r="AG43" s="16"/>
      <c r="AH43" s="16"/>
      <c r="AI43" s="20" t="str">
        <f>IFERROR(IF(VLOOKUP('EUIt Sheet'!$C43,Lookups!$A$3:$V$116,21,FALSE)="","Regular",VLOOKUP('EUIt Sheet'!$C43,Lookups!$A$3:$V$116,21,FALSE)),"")</f>
        <v/>
      </c>
      <c r="AJ43" s="169" t="str">
        <f>IF(AL43&gt;=35000,IF(Lookups!AI43="Special Tier 2","Special Tier 2","Tier 1"),IF(AL43&gt;=20000,IF(Lookups!AI43="Special Tier 2","Not Covered","Regular Tier 2"),"Not Covered"))</f>
        <v>Not Covered</v>
      </c>
      <c r="AK43" s="24" t="str">
        <f>IF(OR('EUIt Sheet'!$G$2="Yes"),IF(IFERROR(VLOOKUP("Special Tier 2",$AJ$10:$AL$70,3,FALSE),0)&gt;0,IF(AJ43="Tier 1","Extended Tier 2",AJ43),AJ43),AJ43)</f>
        <v>Not Covered</v>
      </c>
      <c r="AL43" s="33">
        <f>'EUIt Sheet'!D43</f>
        <v>0</v>
      </c>
      <c r="AM43" s="16"/>
      <c r="AN43" s="16"/>
      <c r="AO43" s="16"/>
      <c r="AP43" s="16"/>
      <c r="AQ43" s="16"/>
      <c r="AR43" s="16"/>
      <c r="AS43" s="16"/>
      <c r="AT43" s="16"/>
      <c r="AU43" s="17"/>
      <c r="AV43" s="17"/>
      <c r="AW43" s="17"/>
      <c r="AX43" s="17"/>
      <c r="AY43" s="17"/>
      <c r="AZ43" s="17"/>
      <c r="BA43" s="17"/>
      <c r="BB43" s="17"/>
      <c r="BC43" s="17"/>
      <c r="BD43" s="17"/>
      <c r="BE43" s="17"/>
      <c r="BF43" s="17"/>
      <c r="BG43" s="17"/>
      <c r="BH43" s="29"/>
      <c r="BI43" s="29"/>
    </row>
    <row r="44" spans="1:61" customFormat="1" ht="100" customHeight="1" x14ac:dyDescent="0.35">
      <c r="A44" s="21" t="str">
        <f t="shared" si="1"/>
        <v>42: Food sales and service | Food sales | Other food sales</v>
      </c>
      <c r="B44" s="24">
        <v>42</v>
      </c>
      <c r="C44" s="25" t="s">
        <v>356</v>
      </c>
      <c r="D44" s="25" t="s">
        <v>370</v>
      </c>
      <c r="E44" s="25" t="s">
        <v>376</v>
      </c>
      <c r="F44" s="24">
        <v>153</v>
      </c>
      <c r="G44" s="24">
        <v>157</v>
      </c>
      <c r="H44" s="26">
        <v>0.5</v>
      </c>
      <c r="I44" s="26">
        <v>0.9</v>
      </c>
      <c r="J44" s="26">
        <v>1.3</v>
      </c>
      <c r="K44" s="27" t="s">
        <v>377</v>
      </c>
      <c r="L44" s="27" t="s">
        <v>378</v>
      </c>
      <c r="M44" s="27" t="str">
        <f>IFERROR(VLOOKUP($O44,Lookups!$AA$3:$AB$14,2,FALSE),"")&amp;" "&amp;IFERROR(VLOOKUP($P44,Lookups!$AA$3:$AB$14,2,FALSE),"")</f>
        <v xml:space="preserve">The weekly hours are the hours that the majority of the building is open to serve the public. </v>
      </c>
      <c r="N44" s="25" t="s">
        <v>379</v>
      </c>
      <c r="O44" s="24">
        <v>4</v>
      </c>
      <c r="P44" s="24"/>
      <c r="Q44" s="24"/>
      <c r="R44" s="24"/>
      <c r="S44" s="24"/>
      <c r="T44" s="16"/>
      <c r="U44" s="24"/>
      <c r="V44" s="24"/>
      <c r="W44" s="24"/>
      <c r="X44" s="16"/>
      <c r="Y44" s="16"/>
      <c r="Z44" s="16"/>
      <c r="AA44" s="16"/>
      <c r="AB44" s="16"/>
      <c r="AC44" s="16"/>
      <c r="AD44" s="16"/>
      <c r="AE44" s="16"/>
      <c r="AF44" s="16"/>
      <c r="AG44" s="16"/>
      <c r="AH44" s="16"/>
      <c r="AI44" s="20" t="str">
        <f>IFERROR(IF(VLOOKUP('EUIt Sheet'!$C44,Lookups!$A$3:$V$116,21,FALSE)="","Regular",VLOOKUP('EUIt Sheet'!$C44,Lookups!$A$3:$V$116,21,FALSE)),"")</f>
        <v/>
      </c>
      <c r="AJ44" s="169" t="str">
        <f>IF(AL44&gt;=35000,IF(Lookups!AI44="Special Tier 2","Special Tier 2","Tier 1"),IF(AL44&gt;=20000,IF(Lookups!AI44="Special Tier 2","Not Covered","Regular Tier 2"),"Not Covered"))</f>
        <v>Not Covered</v>
      </c>
      <c r="AK44" s="24" t="str">
        <f>IF(OR('EUIt Sheet'!$G$2="Yes"),IF(IFERROR(VLOOKUP("Special Tier 2",$AJ$10:$AL$70,3,FALSE),0)&gt;0,IF(AJ44="Tier 1","Extended Tier 2",AJ44),AJ44),AJ44)</f>
        <v>Not Covered</v>
      </c>
      <c r="AL44" s="33">
        <f>'EUIt Sheet'!D44</f>
        <v>0</v>
      </c>
      <c r="AM44" s="16"/>
      <c r="AN44" s="16"/>
      <c r="AO44" s="16"/>
      <c r="AP44" s="16"/>
      <c r="AQ44" s="16"/>
      <c r="AR44" s="16"/>
      <c r="AS44" s="16"/>
      <c r="AT44" s="16"/>
      <c r="AU44" s="17"/>
      <c r="AV44" s="17"/>
      <c r="AW44" s="17"/>
      <c r="AX44" s="17"/>
      <c r="AY44" s="17"/>
      <c r="AZ44" s="17"/>
      <c r="BA44" s="17"/>
      <c r="BB44" s="17"/>
      <c r="BC44" s="17"/>
      <c r="BD44" s="17"/>
      <c r="BE44" s="17"/>
      <c r="BF44" s="17"/>
      <c r="BG44" s="17"/>
      <c r="BH44" s="29"/>
      <c r="BI44" s="29"/>
    </row>
    <row r="45" spans="1:61" customFormat="1" ht="100" customHeight="1" x14ac:dyDescent="0.35">
      <c r="A45" s="21" t="str">
        <f t="shared" si="1"/>
        <v>43: Food sales and service | Food service | Fast food</v>
      </c>
      <c r="B45" s="24">
        <v>43</v>
      </c>
      <c r="C45" s="25" t="s">
        <v>356</v>
      </c>
      <c r="D45" s="25" t="s">
        <v>380</v>
      </c>
      <c r="E45" s="25" t="s">
        <v>381</v>
      </c>
      <c r="F45" s="24">
        <v>308</v>
      </c>
      <c r="G45" s="24">
        <v>326</v>
      </c>
      <c r="H45" s="26">
        <v>0.6</v>
      </c>
      <c r="I45" s="26">
        <v>1.1000000000000001</v>
      </c>
      <c r="J45" s="26">
        <v>1.5</v>
      </c>
      <c r="K45" s="27" t="s">
        <v>368</v>
      </c>
      <c r="L45" s="27" t="s">
        <v>358</v>
      </c>
      <c r="M45" s="27" t="str">
        <f>IFERROR(VLOOKUP($O45,Lookups!$AA$3:$AB$14,2,FALSE),"")&amp;" "&amp;IFERROR(VLOOKUP($P45,Lookups!$AA$3:$AB$14,2,FALSE),"")</f>
        <v xml:space="preserve">The weekly hours are the hours that the majority of the building is open to serve the public. </v>
      </c>
      <c r="N45" s="16"/>
      <c r="O45" s="24">
        <v>4</v>
      </c>
      <c r="P45" s="24"/>
      <c r="Q45" s="24"/>
      <c r="R45" s="24"/>
      <c r="S45" s="24"/>
      <c r="T45" s="16"/>
      <c r="U45" s="24"/>
      <c r="V45" s="24"/>
      <c r="W45" s="24"/>
      <c r="X45" s="16"/>
      <c r="Y45" s="16"/>
      <c r="Z45" s="16"/>
      <c r="AA45" s="16"/>
      <c r="AB45" s="16"/>
      <c r="AC45" s="16"/>
      <c r="AD45" s="16"/>
      <c r="AE45" s="16"/>
      <c r="AF45" s="16"/>
      <c r="AG45" s="16"/>
      <c r="AH45" s="16"/>
      <c r="AI45" s="20" t="str">
        <f>IFERROR(IF(VLOOKUP('EUIt Sheet'!$C45,Lookups!$A$3:$V$116,21,FALSE)="","Regular",VLOOKUP('EUIt Sheet'!$C45,Lookups!$A$3:$V$116,21,FALSE)),"")</f>
        <v/>
      </c>
      <c r="AJ45" s="169" t="str">
        <f>IF(AL45&gt;=35000,IF(Lookups!AI45="Special Tier 2","Special Tier 2","Tier 1"),IF(AL45&gt;=20000,IF(Lookups!AI45="Special Tier 2","Not Covered","Regular Tier 2"),"Not Covered"))</f>
        <v>Not Covered</v>
      </c>
      <c r="AK45" s="24" t="str">
        <f>IF(OR('EUIt Sheet'!$G$2="Yes"),IF(IFERROR(VLOOKUP("Special Tier 2",$AJ$10:$AL$70,3,FALSE),0)&gt;0,IF(AJ45="Tier 1","Extended Tier 2",AJ45),AJ45),AJ45)</f>
        <v>Not Covered</v>
      </c>
      <c r="AL45" s="33">
        <f>'EUIt Sheet'!D45</f>
        <v>0</v>
      </c>
      <c r="AM45" s="16"/>
      <c r="AN45" s="16"/>
      <c r="AO45" s="16"/>
      <c r="AP45" s="16"/>
      <c r="AQ45" s="16"/>
      <c r="AR45" s="16"/>
      <c r="AS45" s="16"/>
      <c r="AT45" s="16"/>
      <c r="AU45" s="17"/>
      <c r="AV45" s="17"/>
      <c r="AW45" s="17"/>
      <c r="AX45" s="17"/>
      <c r="AY45" s="17"/>
      <c r="AZ45" s="17"/>
      <c r="BA45" s="17"/>
      <c r="BB45" s="17"/>
      <c r="BC45" s="17"/>
      <c r="BD45" s="17"/>
      <c r="BE45" s="17"/>
      <c r="BF45" s="17"/>
      <c r="BG45" s="17"/>
      <c r="BH45" s="29"/>
      <c r="BI45" s="29"/>
    </row>
    <row r="46" spans="1:61" customFormat="1" ht="100" customHeight="1" x14ac:dyDescent="0.35">
      <c r="A46" s="21" t="str">
        <f t="shared" si="1"/>
        <v>44: Food sales and service | Food service | Restaurant/ cafeteria</v>
      </c>
      <c r="B46" s="24">
        <v>44</v>
      </c>
      <c r="C46" s="25" t="s">
        <v>356</v>
      </c>
      <c r="D46" s="25" t="s">
        <v>380</v>
      </c>
      <c r="E46" s="25" t="s">
        <v>382</v>
      </c>
      <c r="F46" s="24">
        <v>325</v>
      </c>
      <c r="G46" s="24">
        <v>340</v>
      </c>
      <c r="H46" s="26">
        <v>0.6</v>
      </c>
      <c r="I46" s="26">
        <v>1.1000000000000001</v>
      </c>
      <c r="J46" s="26">
        <v>1.5</v>
      </c>
      <c r="K46" s="27" t="s">
        <v>383</v>
      </c>
      <c r="L46" s="27" t="s">
        <v>369</v>
      </c>
      <c r="M46" s="27" t="str">
        <f>IFERROR(VLOOKUP($O46,Lookups!$AA$3:$AB$14,2,FALSE),"")&amp;" "&amp;IFERROR(VLOOKUP($P46,Lookups!$AA$3:$AB$14,2,FALSE),"")</f>
        <v xml:space="preserve">The weekly hours are the hours that the majority of the building is open to serve the public. </v>
      </c>
      <c r="N46" s="16"/>
      <c r="O46" s="24">
        <v>4</v>
      </c>
      <c r="P46" s="24"/>
      <c r="Q46" s="24"/>
      <c r="R46" s="24"/>
      <c r="S46" s="24"/>
      <c r="T46" s="16"/>
      <c r="U46" s="24"/>
      <c r="V46" s="24"/>
      <c r="W46" s="24"/>
      <c r="X46" s="16"/>
      <c r="Y46" s="16"/>
      <c r="Z46" s="16"/>
      <c r="AA46" s="16"/>
      <c r="AB46" s="16"/>
      <c r="AC46" s="16"/>
      <c r="AD46" s="16"/>
      <c r="AE46" s="16"/>
      <c r="AF46" s="16"/>
      <c r="AG46" s="16"/>
      <c r="AH46" s="16"/>
      <c r="AI46" s="20" t="str">
        <f>IFERROR(IF(VLOOKUP('EUIt Sheet'!$C46,Lookups!$A$3:$V$116,21,FALSE)="","Regular",VLOOKUP('EUIt Sheet'!$C46,Lookups!$A$3:$V$116,21,FALSE)),"")</f>
        <v/>
      </c>
      <c r="AJ46" s="169" t="str">
        <f>IF(AL46&gt;=35000,IF(Lookups!AI46="Special Tier 2","Special Tier 2","Tier 1"),IF(AL46&gt;=20000,IF(Lookups!AI46="Special Tier 2","Not Covered","Regular Tier 2"),"Not Covered"))</f>
        <v>Not Covered</v>
      </c>
      <c r="AK46" s="24" t="str">
        <f>IF(OR('EUIt Sheet'!$G$2="Yes"),IF(IFERROR(VLOOKUP("Special Tier 2",$AJ$10:$AL$70,3,FALSE),0)&gt;0,IF(AJ46="Tier 1","Extended Tier 2",AJ46),AJ46),AJ46)</f>
        <v>Not Covered</v>
      </c>
      <c r="AL46" s="33">
        <f>'EUIt Sheet'!D46</f>
        <v>0</v>
      </c>
      <c r="AM46" s="16"/>
      <c r="AN46" s="16"/>
      <c r="AO46" s="16"/>
      <c r="AP46" s="16"/>
      <c r="AQ46" s="16"/>
      <c r="AR46" s="16"/>
      <c r="AS46" s="16"/>
      <c r="AT46" s="16"/>
      <c r="AU46" s="17"/>
      <c r="AV46" s="17"/>
      <c r="AW46" s="17"/>
      <c r="AX46" s="17"/>
      <c r="AY46" s="17"/>
      <c r="AZ46" s="17"/>
      <c r="BA46" s="17"/>
      <c r="BB46" s="17"/>
      <c r="BC46" s="17"/>
      <c r="BD46" s="17"/>
      <c r="BE46" s="17"/>
      <c r="BF46" s="17"/>
      <c r="BG46" s="17"/>
      <c r="BH46" s="29"/>
      <c r="BI46" s="29"/>
    </row>
    <row r="47" spans="1:61" customFormat="1" ht="100" customHeight="1" x14ac:dyDescent="0.35">
      <c r="A47" s="21" t="str">
        <f t="shared" si="1"/>
        <v>45: Food sales and service | Food service | Other food service</v>
      </c>
      <c r="B47" s="24">
        <v>45</v>
      </c>
      <c r="C47" s="25" t="s">
        <v>356</v>
      </c>
      <c r="D47" s="25" t="s">
        <v>380</v>
      </c>
      <c r="E47" s="25" t="s">
        <v>384</v>
      </c>
      <c r="F47" s="24">
        <v>308</v>
      </c>
      <c r="G47" s="24">
        <v>326</v>
      </c>
      <c r="H47" s="26">
        <v>0.6</v>
      </c>
      <c r="I47" s="26">
        <v>1.1000000000000001</v>
      </c>
      <c r="J47" s="26">
        <v>1.5</v>
      </c>
      <c r="K47" s="27" t="s">
        <v>385</v>
      </c>
      <c r="L47" s="27" t="s">
        <v>369</v>
      </c>
      <c r="M47" s="27" t="str">
        <f>IFERROR(VLOOKUP($O47,Lookups!$AA$3:$AB$14,2,FALSE),"")&amp;" "&amp;IFERROR(VLOOKUP($P47,Lookups!$AA$3:$AB$14,2,FALSE),"")</f>
        <v xml:space="preserve">The weekly hours are the hours that the majority of the building is open to serve the public. </v>
      </c>
      <c r="N47" s="25" t="s">
        <v>386</v>
      </c>
      <c r="O47" s="24">
        <v>4</v>
      </c>
      <c r="P47" s="24"/>
      <c r="Q47" s="24"/>
      <c r="R47" s="24"/>
      <c r="S47" s="24"/>
      <c r="T47" s="16"/>
      <c r="U47" s="24"/>
      <c r="V47" s="24"/>
      <c r="W47" s="24"/>
      <c r="X47" s="16"/>
      <c r="Y47" s="16"/>
      <c r="Z47" s="16"/>
      <c r="AA47" s="16"/>
      <c r="AB47" s="16"/>
      <c r="AC47" s="16"/>
      <c r="AD47" s="16"/>
      <c r="AE47" s="16"/>
      <c r="AF47" s="16"/>
      <c r="AG47" s="16"/>
      <c r="AH47" s="16"/>
      <c r="AI47" s="20" t="str">
        <f>IFERROR(IF(VLOOKUP('EUIt Sheet'!$C47,Lookups!$A$3:$V$116,21,FALSE)="","Regular",VLOOKUP('EUIt Sheet'!$C47,Lookups!$A$3:$V$116,21,FALSE)),"")</f>
        <v/>
      </c>
      <c r="AJ47" s="169" t="str">
        <f>IF(AL47&gt;=35000,IF(Lookups!AI47="Special Tier 2","Special Tier 2","Tier 1"),IF(AL47&gt;=20000,IF(Lookups!AI47="Special Tier 2","Not Covered","Regular Tier 2"),"Not Covered"))</f>
        <v>Not Covered</v>
      </c>
      <c r="AK47" s="24" t="str">
        <f>IF(OR('EUIt Sheet'!$G$2="Yes"),IF(IFERROR(VLOOKUP("Special Tier 2",$AJ$10:$AL$70,3,FALSE),0)&gt;0,IF(AJ47="Tier 1","Extended Tier 2",AJ47),AJ47),AJ47)</f>
        <v>Not Covered</v>
      </c>
      <c r="AL47" s="33">
        <f>'EUIt Sheet'!D47</f>
        <v>0</v>
      </c>
      <c r="AM47" s="16"/>
      <c r="AN47" s="16"/>
      <c r="AO47" s="16"/>
      <c r="AP47" s="16"/>
      <c r="AQ47" s="16"/>
      <c r="AR47" s="16"/>
      <c r="AS47" s="16"/>
      <c r="AT47" s="16"/>
      <c r="AU47" s="17"/>
      <c r="AV47" s="17"/>
      <c r="AW47" s="17"/>
      <c r="AX47" s="17"/>
      <c r="AY47" s="17"/>
      <c r="AZ47" s="17"/>
      <c r="BA47" s="17"/>
      <c r="BB47" s="17"/>
      <c r="BC47" s="17"/>
      <c r="BD47" s="17"/>
      <c r="BE47" s="17"/>
      <c r="BF47" s="17"/>
      <c r="BG47" s="17"/>
      <c r="BH47" s="29"/>
      <c r="BI47" s="29"/>
    </row>
    <row r="48" spans="1:61" customFormat="1" ht="100" customHeight="1" x14ac:dyDescent="0.35">
      <c r="A48" s="21" t="str">
        <f t="shared" si="1"/>
        <v xml:space="preserve">46: Food sales and service | Restaurant | </v>
      </c>
      <c r="B48" s="24">
        <v>46</v>
      </c>
      <c r="C48" s="25" t="s">
        <v>356</v>
      </c>
      <c r="D48" s="25" t="s">
        <v>387</v>
      </c>
      <c r="E48" s="25"/>
      <c r="F48" s="24">
        <v>325</v>
      </c>
      <c r="G48" s="24">
        <v>340</v>
      </c>
      <c r="H48" s="26">
        <v>0.6</v>
      </c>
      <c r="I48" s="26">
        <v>1.1000000000000001</v>
      </c>
      <c r="J48" s="26">
        <v>1.5</v>
      </c>
      <c r="K48" s="27" t="s">
        <v>388</v>
      </c>
      <c r="L48" s="27" t="s">
        <v>369</v>
      </c>
      <c r="M48" s="27" t="str">
        <f>IFERROR(VLOOKUP($O48,Lookups!$AA$3:$AB$14,2,FALSE),"")&amp;" "&amp;IFERROR(VLOOKUP($P48,Lookups!$AA$3:$AB$14,2,FALSE),"")</f>
        <v xml:space="preserve">The weekly hours are the hours that the majority of the building is open to serve the public. </v>
      </c>
      <c r="N48" s="16"/>
      <c r="O48" s="24">
        <v>4</v>
      </c>
      <c r="P48" s="24"/>
      <c r="Q48" s="24"/>
      <c r="R48" s="24"/>
      <c r="S48" s="24"/>
      <c r="T48" s="16"/>
      <c r="U48" s="24"/>
      <c r="V48" s="24"/>
      <c r="W48" s="24"/>
      <c r="X48" s="16"/>
      <c r="Y48" s="16"/>
      <c r="Z48" s="16"/>
      <c r="AA48" s="16"/>
      <c r="AB48" s="16"/>
      <c r="AC48" s="16"/>
      <c r="AD48" s="16"/>
      <c r="AE48" s="16"/>
      <c r="AF48" s="16"/>
      <c r="AG48" s="16"/>
      <c r="AH48" s="16"/>
      <c r="AI48" s="20" t="str">
        <f>IFERROR(IF(VLOOKUP('EUIt Sheet'!$C48,Lookups!$A$3:$V$116,21,FALSE)="","Regular",VLOOKUP('EUIt Sheet'!$C48,Lookups!$A$3:$V$116,21,FALSE)),"")</f>
        <v/>
      </c>
      <c r="AJ48" s="169" t="str">
        <f>IF(AL48&gt;=35000,IF(Lookups!AI48="Special Tier 2","Special Tier 2","Tier 1"),IF(AL48&gt;=20000,IF(Lookups!AI48="Special Tier 2","Not Covered","Regular Tier 2"),"Not Covered"))</f>
        <v>Not Covered</v>
      </c>
      <c r="AK48" s="24" t="str">
        <f>IF(OR('EUIt Sheet'!$G$2="Yes"),IF(IFERROR(VLOOKUP("Special Tier 2",$AJ$10:$AL$70,3,FALSE),0)&gt;0,IF(AJ48="Tier 1","Extended Tier 2",AJ48),AJ48),AJ48)</f>
        <v>Not Covered</v>
      </c>
      <c r="AL48" s="33">
        <f>'EUIt Sheet'!D48</f>
        <v>0</v>
      </c>
      <c r="AM48" s="16"/>
      <c r="AN48" s="16"/>
      <c r="AO48" s="16"/>
      <c r="AP48" s="16"/>
      <c r="AQ48" s="16"/>
      <c r="AR48" s="16"/>
      <c r="AS48" s="16"/>
      <c r="AT48" s="16"/>
      <c r="AU48" s="17"/>
      <c r="AV48" s="17"/>
      <c r="AW48" s="17"/>
      <c r="AX48" s="17"/>
      <c r="AY48" s="17"/>
      <c r="AZ48" s="17"/>
      <c r="BA48" s="17"/>
      <c r="BB48" s="17"/>
      <c r="BC48" s="17"/>
      <c r="BD48" s="17"/>
      <c r="BE48" s="17"/>
      <c r="BF48" s="17"/>
      <c r="BG48" s="17"/>
      <c r="BH48" s="29"/>
      <c r="BI48" s="29"/>
    </row>
    <row r="49" spans="1:61" customFormat="1" ht="100" customHeight="1" x14ac:dyDescent="0.35">
      <c r="A49" s="21" t="str">
        <f t="shared" si="1"/>
        <v xml:space="preserve">47: Food sales and service | Supermarket / grocery store | </v>
      </c>
      <c r="B49" s="24">
        <v>47</v>
      </c>
      <c r="C49" s="25" t="s">
        <v>356</v>
      </c>
      <c r="D49" s="25" t="s">
        <v>389</v>
      </c>
      <c r="E49" s="25"/>
      <c r="F49" s="24">
        <v>153</v>
      </c>
      <c r="G49" s="24">
        <v>157</v>
      </c>
      <c r="H49" s="26">
        <v>0.5</v>
      </c>
      <c r="I49" s="26">
        <v>0.9</v>
      </c>
      <c r="J49" s="26">
        <v>1.3</v>
      </c>
      <c r="K49" s="27" t="s">
        <v>372</v>
      </c>
      <c r="L49" s="27" t="s">
        <v>373</v>
      </c>
      <c r="M49" s="27" t="str">
        <f>IFERROR(VLOOKUP($O49,Lookups!$AA$3:$AB$14,2,FALSE),"")&amp;" "&amp;IFERROR(VLOOKUP($P49,Lookups!$AA$3:$AB$14,2,FALSE),"")</f>
        <v xml:space="preserve">The weekly hours are the hours that the majority of the building is open to serve the public. </v>
      </c>
      <c r="N49" s="16"/>
      <c r="O49" s="24">
        <v>4</v>
      </c>
      <c r="P49" s="24"/>
      <c r="Q49" s="24"/>
      <c r="R49" s="24"/>
      <c r="S49" s="24"/>
      <c r="T49" s="16"/>
      <c r="U49" s="24"/>
      <c r="V49" s="24"/>
      <c r="W49" s="24"/>
      <c r="X49" s="16"/>
      <c r="Y49" s="16"/>
      <c r="Z49" s="16"/>
      <c r="AA49" s="16"/>
      <c r="AB49" s="16"/>
      <c r="AC49" s="16"/>
      <c r="AD49" s="16"/>
      <c r="AE49" s="16"/>
      <c r="AF49" s="16"/>
      <c r="AG49" s="16"/>
      <c r="AH49" s="16"/>
      <c r="AI49" s="20" t="str">
        <f>IFERROR(IF(VLOOKUP('EUIt Sheet'!$C49,Lookups!$A$3:$V$116,21,FALSE)="","Regular",VLOOKUP('EUIt Sheet'!$C49,Lookups!$A$3:$V$116,21,FALSE)),"")</f>
        <v/>
      </c>
      <c r="AJ49" s="169" t="str">
        <f>IF(AL49&gt;=35000,IF(Lookups!AI49="Special Tier 2","Special Tier 2","Tier 1"),IF(AL49&gt;=20000,IF(Lookups!AI49="Special Tier 2","Not Covered","Regular Tier 2"),"Not Covered"))</f>
        <v>Not Covered</v>
      </c>
      <c r="AK49" s="24" t="str">
        <f>IF(OR('EUIt Sheet'!$G$2="Yes"),IF(IFERROR(VLOOKUP("Special Tier 2",$AJ$10:$AL$70,3,FALSE),0)&gt;0,IF(AJ49="Tier 1","Extended Tier 2",AJ49),AJ49),AJ49)</f>
        <v>Not Covered</v>
      </c>
      <c r="AL49" s="33">
        <f>'EUIt Sheet'!D49</f>
        <v>0</v>
      </c>
      <c r="AM49" s="16"/>
      <c r="AN49" s="16"/>
      <c r="AO49" s="16"/>
      <c r="AP49" s="16"/>
      <c r="AQ49" s="16"/>
      <c r="AR49" s="16"/>
      <c r="AS49" s="16"/>
      <c r="AT49" s="16"/>
      <c r="AU49" s="17"/>
      <c r="AV49" s="17"/>
      <c r="AW49" s="17"/>
      <c r="AX49" s="17"/>
      <c r="AY49" s="17"/>
      <c r="AZ49" s="17"/>
      <c r="BA49" s="17"/>
      <c r="BB49" s="17"/>
      <c r="BC49" s="17"/>
      <c r="BD49" s="17"/>
      <c r="BE49" s="17"/>
      <c r="BF49" s="17"/>
      <c r="BG49" s="17"/>
      <c r="BH49" s="29"/>
      <c r="BI49" s="29"/>
    </row>
    <row r="50" spans="1:61" customFormat="1" ht="100" customHeight="1" x14ac:dyDescent="0.35">
      <c r="A50" s="21" t="str">
        <f t="shared" si="1"/>
        <v xml:space="preserve">48: Food sales and service | Wholesale club / supercenter | </v>
      </c>
      <c r="B50" s="24">
        <v>48</v>
      </c>
      <c r="C50" s="25" t="s">
        <v>356</v>
      </c>
      <c r="D50" s="25" t="s">
        <v>390</v>
      </c>
      <c r="E50" s="25"/>
      <c r="F50" s="24">
        <v>153</v>
      </c>
      <c r="G50" s="24">
        <v>157</v>
      </c>
      <c r="H50" s="26">
        <v>0.5</v>
      </c>
      <c r="I50" s="26">
        <v>0.9</v>
      </c>
      <c r="J50" s="26">
        <v>1.3</v>
      </c>
      <c r="K50" s="27" t="s">
        <v>391</v>
      </c>
      <c r="L50" s="27" t="s">
        <v>392</v>
      </c>
      <c r="M50" s="27" t="str">
        <f>IFERROR(VLOOKUP($O50,Lookups!$AA$3:$AB$14,2,FALSE),"")&amp;" "&amp;IFERROR(VLOOKUP($P50,Lookups!$AA$3:$AB$14,2,FALSE),"")</f>
        <v xml:space="preserve">The weekly hours are the hours that the majority of the building is open to serve the public. </v>
      </c>
      <c r="N50" s="25" t="s">
        <v>379</v>
      </c>
      <c r="O50" s="24">
        <v>4</v>
      </c>
      <c r="P50" s="24"/>
      <c r="Q50" s="24"/>
      <c r="R50" s="24"/>
      <c r="S50" s="24"/>
      <c r="T50" s="16"/>
      <c r="U50" s="24"/>
      <c r="V50" s="24"/>
      <c r="W50" s="24"/>
      <c r="X50" s="16"/>
      <c r="Y50" s="16"/>
      <c r="Z50" s="16"/>
      <c r="AA50" s="16"/>
      <c r="AB50" s="16"/>
      <c r="AC50" s="16"/>
      <c r="AD50" s="16"/>
      <c r="AE50" s="16"/>
      <c r="AF50" s="16"/>
      <c r="AG50" s="16"/>
      <c r="AH50" s="16"/>
      <c r="AI50" s="20" t="str">
        <f>IFERROR(IF(VLOOKUP('EUIt Sheet'!$C50,Lookups!$A$3:$V$116,21,FALSE)="","Regular",VLOOKUP('EUIt Sheet'!$C50,Lookups!$A$3:$V$116,21,FALSE)),"")</f>
        <v/>
      </c>
      <c r="AJ50" s="169" t="str">
        <f>IF(AL50&gt;=35000,IF(Lookups!AI50="Special Tier 2","Special Tier 2","Tier 1"),IF(AL50&gt;=20000,IF(Lookups!AI50="Special Tier 2","Not Covered","Regular Tier 2"),"Not Covered"))</f>
        <v>Not Covered</v>
      </c>
      <c r="AK50" s="24" t="str">
        <f>IF(OR('EUIt Sheet'!$G$2="Yes"),IF(IFERROR(VLOOKUP("Special Tier 2",$AJ$10:$AL$70,3,FALSE),0)&gt;0,IF(AJ50="Tier 1","Extended Tier 2",AJ50),AJ50),AJ50)</f>
        <v>Not Covered</v>
      </c>
      <c r="AL50" s="33">
        <f>'EUIt Sheet'!D50</f>
        <v>0</v>
      </c>
      <c r="AM50" s="16"/>
      <c r="AN50" s="16"/>
      <c r="AO50" s="16"/>
      <c r="AP50" s="16"/>
      <c r="AQ50" s="16"/>
      <c r="AR50" s="16"/>
      <c r="AS50" s="16"/>
      <c r="AT50" s="16"/>
      <c r="AU50" s="17"/>
      <c r="AV50" s="17"/>
      <c r="AW50" s="17"/>
      <c r="AX50" s="17"/>
      <c r="AY50" s="17"/>
      <c r="AZ50" s="17"/>
      <c r="BA50" s="17"/>
      <c r="BB50" s="17"/>
      <c r="BC50" s="17"/>
      <c r="BD50" s="17"/>
      <c r="BE50" s="17"/>
      <c r="BF50" s="17"/>
      <c r="BG50" s="17"/>
      <c r="BH50" s="29"/>
      <c r="BI50" s="29"/>
    </row>
    <row r="51" spans="1:61" customFormat="1" ht="100" customHeight="1" x14ac:dyDescent="0.35">
      <c r="A51" s="21" t="str">
        <f t="shared" si="1"/>
        <v xml:space="preserve">49: Food sales and service | Other - restaurant / bar | </v>
      </c>
      <c r="B51" s="24">
        <v>49</v>
      </c>
      <c r="C51" s="25" t="s">
        <v>356</v>
      </c>
      <c r="D51" s="25" t="s">
        <v>393</v>
      </c>
      <c r="E51" s="25"/>
      <c r="F51" s="24">
        <v>325</v>
      </c>
      <c r="G51" s="24">
        <v>340</v>
      </c>
      <c r="H51" s="26">
        <v>0.6</v>
      </c>
      <c r="I51" s="26">
        <v>1.1000000000000001</v>
      </c>
      <c r="J51" s="26">
        <v>1.5</v>
      </c>
      <c r="K51" s="27" t="s">
        <v>394</v>
      </c>
      <c r="L51" s="27" t="s">
        <v>395</v>
      </c>
      <c r="M51" s="27" t="str">
        <f>IFERROR(VLOOKUP($O51,Lookups!$AA$3:$AB$14,2,FALSE),"")&amp;" "&amp;IFERROR(VLOOKUP($P51,Lookups!$AA$3:$AB$14,2,FALSE),"")</f>
        <v xml:space="preserve">The weekly hours are the hours that the majority of the building is open to serve the public. </v>
      </c>
      <c r="N51" s="16"/>
      <c r="O51" s="24">
        <v>4</v>
      </c>
      <c r="P51" s="24"/>
      <c r="Q51" s="24"/>
      <c r="R51" s="24"/>
      <c r="S51" s="24"/>
      <c r="T51" s="16"/>
      <c r="U51" s="24"/>
      <c r="V51" s="24"/>
      <c r="W51" s="24"/>
      <c r="X51" s="16"/>
      <c r="Y51" s="16"/>
      <c r="Z51" s="16"/>
      <c r="AA51" s="16"/>
      <c r="AB51" s="16"/>
      <c r="AC51" s="16"/>
      <c r="AD51" s="16"/>
      <c r="AE51" s="16"/>
      <c r="AF51" s="16"/>
      <c r="AG51" s="16"/>
      <c r="AH51" s="16"/>
      <c r="AI51" s="20" t="str">
        <f>IFERROR(IF(VLOOKUP('EUIt Sheet'!$C51,Lookups!$A$3:$V$116,21,FALSE)="","Regular",VLOOKUP('EUIt Sheet'!$C51,Lookups!$A$3:$V$116,21,FALSE)),"")</f>
        <v/>
      </c>
      <c r="AJ51" s="169" t="str">
        <f>IF(AL51&gt;=35000,IF(Lookups!AI51="Special Tier 2","Special Tier 2","Tier 1"),IF(AL51&gt;=20000,IF(Lookups!AI51="Special Tier 2","Not Covered","Regular Tier 2"),"Not Covered"))</f>
        <v>Not Covered</v>
      </c>
      <c r="AK51" s="24" t="str">
        <f>IF(OR('EUIt Sheet'!$G$2="Yes"),IF(IFERROR(VLOOKUP("Special Tier 2",$AJ$10:$AL$70,3,FALSE),0)&gt;0,IF(AJ51="Tier 1","Extended Tier 2",AJ51),AJ51),AJ51)</f>
        <v>Not Covered</v>
      </c>
      <c r="AL51" s="33">
        <f>'EUIt Sheet'!D51</f>
        <v>0</v>
      </c>
      <c r="AM51" s="16"/>
      <c r="AN51" s="16"/>
      <c r="AO51" s="16"/>
      <c r="AP51" s="16"/>
      <c r="AQ51" s="16"/>
      <c r="AR51" s="16"/>
      <c r="AS51" s="16"/>
      <c r="AT51" s="16"/>
      <c r="AU51" s="17"/>
      <c r="AV51" s="17"/>
      <c r="AW51" s="17"/>
      <c r="AX51" s="17"/>
      <c r="AY51" s="17"/>
      <c r="AZ51" s="17"/>
      <c r="BA51" s="17"/>
      <c r="BB51" s="17"/>
      <c r="BC51" s="17"/>
      <c r="BD51" s="17"/>
      <c r="BE51" s="17"/>
      <c r="BF51" s="17"/>
      <c r="BG51" s="17"/>
      <c r="BH51" s="29"/>
      <c r="BI51" s="29"/>
    </row>
    <row r="52" spans="1:61" customFormat="1" ht="100" customHeight="1" x14ac:dyDescent="0.35">
      <c r="A52" s="21" t="str">
        <f t="shared" si="1"/>
        <v xml:space="preserve">50: Healthcare | Ambulatory surgical center | </v>
      </c>
      <c r="B52" s="24">
        <v>50</v>
      </c>
      <c r="C52" s="25" t="s">
        <v>396</v>
      </c>
      <c r="D52" s="25" t="s">
        <v>397</v>
      </c>
      <c r="E52" s="25"/>
      <c r="F52" s="24">
        <v>92</v>
      </c>
      <c r="G52" s="24">
        <v>99</v>
      </c>
      <c r="H52" s="26">
        <v>0.8</v>
      </c>
      <c r="I52" s="26">
        <v>1.1000000000000001</v>
      </c>
      <c r="J52" s="26">
        <v>1.3</v>
      </c>
      <c r="K52" s="27" t="s">
        <v>398</v>
      </c>
      <c r="L52" s="27" t="s">
        <v>399</v>
      </c>
      <c r="M52" s="27" t="str">
        <f>IFERROR(VLOOKUP($O52,Lookups!$AA$3:$AB$14,2,FALSE),"")&amp;" "&amp;IFERROR(VLOOKUP($P52,Lookups!$AA$3:$AB$14,2,FALSE),"")</f>
        <v xml:space="preserve">The weekly hours are the hours that the majority of the building is open to serve the public. Health care buildings may use other weekly hours if they are required to operate building systems additional hours to protect patient and staff safety. Provide documentation of the requirement in the energy management plan. </v>
      </c>
      <c r="N52" s="16"/>
      <c r="O52" s="24">
        <v>4</v>
      </c>
      <c r="P52" s="24">
        <v>7</v>
      </c>
      <c r="Q52" s="24"/>
      <c r="R52" s="24"/>
      <c r="S52" s="24"/>
      <c r="T52" s="16"/>
      <c r="U52" s="24"/>
      <c r="V52" s="24"/>
      <c r="W52" s="24"/>
      <c r="X52" s="16"/>
      <c r="Y52" s="16"/>
      <c r="Z52" s="16"/>
      <c r="AA52" s="16"/>
      <c r="AB52" s="16"/>
      <c r="AC52" s="16"/>
      <c r="AD52" s="16"/>
      <c r="AE52" s="16"/>
      <c r="AF52" s="16"/>
      <c r="AG52" s="16"/>
      <c r="AH52" s="16"/>
      <c r="AI52" s="20" t="str">
        <f>IFERROR(IF(VLOOKUP('EUIt Sheet'!$C52,Lookups!$A$3:$V$116,21,FALSE)="","Regular",VLOOKUP('EUIt Sheet'!$C52,Lookups!$A$3:$V$116,21,FALSE)),"")</f>
        <v/>
      </c>
      <c r="AJ52" s="169" t="str">
        <f>IF(AL52&gt;=35000,IF(Lookups!AI52="Special Tier 2","Special Tier 2","Tier 1"),IF(AL52&gt;=20000,IF(Lookups!AI52="Special Tier 2","Not Covered","Regular Tier 2"),"Not Covered"))</f>
        <v>Not Covered</v>
      </c>
      <c r="AK52" s="24" t="str">
        <f>IF(OR('EUIt Sheet'!$G$2="Yes"),IF(IFERROR(VLOOKUP("Special Tier 2",$AJ$10:$AL$70,3,FALSE),0)&gt;0,IF(AJ52="Tier 1","Extended Tier 2",AJ52),AJ52),AJ52)</f>
        <v>Not Covered</v>
      </c>
      <c r="AL52" s="33">
        <f>'EUIt Sheet'!D52</f>
        <v>0</v>
      </c>
      <c r="AM52" s="16"/>
      <c r="AN52" s="16"/>
      <c r="AO52" s="16"/>
      <c r="AP52" s="16"/>
      <c r="AQ52" s="16"/>
      <c r="AR52" s="16"/>
      <c r="AS52" s="16"/>
      <c r="AT52" s="16"/>
      <c r="AU52" s="17"/>
      <c r="AV52" s="17"/>
      <c r="AW52" s="17"/>
      <c r="AX52" s="17"/>
      <c r="AY52" s="17"/>
      <c r="AZ52" s="17"/>
      <c r="BA52" s="17"/>
      <c r="BB52" s="17"/>
      <c r="BC52" s="17"/>
      <c r="BD52" s="17"/>
      <c r="BE52" s="17"/>
      <c r="BF52" s="17"/>
      <c r="BG52" s="17"/>
      <c r="BH52" s="29"/>
      <c r="BI52" s="29"/>
    </row>
    <row r="53" spans="1:61" customFormat="1" ht="100" customHeight="1" x14ac:dyDescent="0.35">
      <c r="A53" s="21" t="str">
        <f t="shared" si="1"/>
        <v xml:space="preserve">51: Healthcare | Hospital | </v>
      </c>
      <c r="B53" s="24">
        <v>51</v>
      </c>
      <c r="C53" s="25" t="s">
        <v>396</v>
      </c>
      <c r="D53" s="25" t="s">
        <v>400</v>
      </c>
      <c r="E53" s="25"/>
      <c r="F53" s="24">
        <v>203</v>
      </c>
      <c r="G53" s="24">
        <v>203</v>
      </c>
      <c r="H53" s="26">
        <v>1</v>
      </c>
      <c r="I53" s="26">
        <v>1</v>
      </c>
      <c r="J53" s="26">
        <v>1</v>
      </c>
      <c r="K53" s="27" t="s">
        <v>401</v>
      </c>
      <c r="L53" s="27" t="s">
        <v>402</v>
      </c>
      <c r="M53" s="27" t="s">
        <v>403</v>
      </c>
      <c r="N53" s="37"/>
      <c r="O53" s="24"/>
      <c r="P53" s="24"/>
      <c r="Q53" s="24" t="s">
        <v>404</v>
      </c>
      <c r="R53" s="24">
        <v>9</v>
      </c>
      <c r="S53" s="24">
        <v>10</v>
      </c>
      <c r="T53" s="16"/>
      <c r="U53" s="24" t="s">
        <v>160</v>
      </c>
      <c r="V53" s="24"/>
      <c r="W53" s="24"/>
      <c r="X53" s="16"/>
      <c r="Y53" s="16"/>
      <c r="Z53" s="16"/>
      <c r="AA53" s="16"/>
      <c r="AB53" s="16"/>
      <c r="AC53" s="16"/>
      <c r="AD53" s="16"/>
      <c r="AE53" s="16"/>
      <c r="AF53" s="16"/>
      <c r="AG53" s="16"/>
      <c r="AH53" s="16"/>
      <c r="AI53" s="20" t="str">
        <f>IFERROR(IF(VLOOKUP('EUIt Sheet'!$C53,Lookups!$A$3:$V$116,21,FALSE)="","Regular",VLOOKUP('EUIt Sheet'!$C53,Lookups!$A$3:$V$116,21,FALSE)),"")</f>
        <v/>
      </c>
      <c r="AJ53" s="169" t="str">
        <f>IF(AL53&gt;=35000,IF(Lookups!AI53="Special Tier 2","Special Tier 2","Tier 1"),IF(AL53&gt;=20000,IF(Lookups!AI53="Special Tier 2","Not Covered","Regular Tier 2"),"Not Covered"))</f>
        <v>Not Covered</v>
      </c>
      <c r="AK53" s="24" t="str">
        <f>IF(OR('EUIt Sheet'!$G$2="Yes"),IF(IFERROR(VLOOKUP("Special Tier 2",$AJ$10:$AL$70,3,FALSE),0)&gt;0,IF(AJ53="Tier 1","Extended Tier 2",AJ53),AJ53),AJ53)</f>
        <v>Not Covered</v>
      </c>
      <c r="AL53" s="33">
        <f>'EUIt Sheet'!D53</f>
        <v>0</v>
      </c>
      <c r="AM53" s="16"/>
      <c r="AN53" s="16"/>
      <c r="AO53" s="16"/>
      <c r="AP53" s="16"/>
      <c r="AQ53" s="16"/>
      <c r="AR53" s="16"/>
      <c r="AS53" s="16"/>
      <c r="AT53" s="16"/>
      <c r="AU53" s="17"/>
      <c r="AV53" s="17"/>
      <c r="AW53" s="17"/>
      <c r="AX53" s="17"/>
      <c r="AY53" s="17"/>
      <c r="AZ53" s="17"/>
      <c r="BA53" s="17"/>
      <c r="BB53" s="17"/>
      <c r="BC53" s="17"/>
      <c r="BD53" s="17"/>
      <c r="BE53" s="17"/>
      <c r="BF53" s="17"/>
      <c r="BG53" s="17"/>
      <c r="BH53" s="29"/>
      <c r="BI53" s="29"/>
    </row>
    <row r="54" spans="1:61" customFormat="1" ht="100" customHeight="1" x14ac:dyDescent="0.35">
      <c r="A54" s="21" t="str">
        <f t="shared" si="1"/>
        <v xml:space="preserve">52: Healthcare | Medical office | </v>
      </c>
      <c r="B54" s="24">
        <v>52</v>
      </c>
      <c r="C54" s="25" t="s">
        <v>396</v>
      </c>
      <c r="D54" s="25" t="s">
        <v>405</v>
      </c>
      <c r="E54" s="25"/>
      <c r="F54" s="24">
        <v>77</v>
      </c>
      <c r="G54" s="24">
        <v>83</v>
      </c>
      <c r="H54" s="26">
        <v>0.8</v>
      </c>
      <c r="I54" s="26">
        <v>1.1000000000000001</v>
      </c>
      <c r="J54" s="26">
        <v>1.3</v>
      </c>
      <c r="K54" s="27" t="s">
        <v>406</v>
      </c>
      <c r="L54" s="27" t="s">
        <v>407</v>
      </c>
      <c r="M54" s="27" t="str">
        <f>IFERROR(VLOOKUP($O54,Lookups!$AA$3:$AB$14,2,FALSE),"")&amp;" "&amp;IFERROR(VLOOKUP($P54,Lookups!$AA$3:$AB$14,2,FALSE),"")</f>
        <v xml:space="preserve">The weekly hours are the hours that the majority of the building is open to serve the public. Health care buildings may use other weekly hours if they are required to operate building systems additional hours to protect patient and staff safety. Provide documentation of the requirement in the energy management plan. </v>
      </c>
      <c r="N54" s="25" t="s">
        <v>408</v>
      </c>
      <c r="O54" s="24">
        <v>4</v>
      </c>
      <c r="P54" s="24">
        <v>7</v>
      </c>
      <c r="Q54" s="24"/>
      <c r="R54" s="24">
        <v>3</v>
      </c>
      <c r="S54" s="24"/>
      <c r="T54" s="16"/>
      <c r="U54" s="24"/>
      <c r="V54" s="24"/>
      <c r="W54" s="24"/>
      <c r="X54" s="16"/>
      <c r="Y54" s="16"/>
      <c r="Z54" s="16"/>
      <c r="AA54" s="16"/>
      <c r="AB54" s="16"/>
      <c r="AC54" s="16"/>
      <c r="AD54" s="16"/>
      <c r="AE54" s="16"/>
      <c r="AF54" s="16"/>
      <c r="AG54" s="16"/>
      <c r="AH54" s="16"/>
      <c r="AI54" s="20" t="str">
        <f>IFERROR(IF(VLOOKUP('EUIt Sheet'!$C54,Lookups!$A$3:$V$116,21,FALSE)="","Regular",VLOOKUP('EUIt Sheet'!$C54,Lookups!$A$3:$V$116,21,FALSE)),"")</f>
        <v/>
      </c>
      <c r="AJ54" s="169" t="str">
        <f>IF(AL54&gt;=35000,IF(Lookups!AI54="Special Tier 2","Special Tier 2","Tier 1"),IF(AL54&gt;=20000,IF(Lookups!AI54="Special Tier 2","Not Covered","Regular Tier 2"),"Not Covered"))</f>
        <v>Not Covered</v>
      </c>
      <c r="AK54" s="24" t="str">
        <f>IF(OR('EUIt Sheet'!$G$2="Yes"),IF(IFERROR(VLOOKUP("Special Tier 2",$AJ$10:$AL$70,3,FALSE),0)&gt;0,IF(AJ54="Tier 1","Extended Tier 2",AJ54),AJ54),AJ54)</f>
        <v>Not Covered</v>
      </c>
      <c r="AL54" s="33">
        <f>'EUIt Sheet'!D54</f>
        <v>0</v>
      </c>
      <c r="AM54" s="16"/>
      <c r="AN54" s="16"/>
      <c r="AO54" s="16"/>
      <c r="AP54" s="16"/>
      <c r="AQ54" s="16"/>
      <c r="AR54" s="16"/>
      <c r="AS54" s="16"/>
      <c r="AT54" s="16"/>
      <c r="AU54" s="17"/>
      <c r="AV54" s="17"/>
      <c r="AW54" s="17"/>
      <c r="AX54" s="17"/>
      <c r="AY54" s="17"/>
      <c r="AZ54" s="17"/>
      <c r="BA54" s="17"/>
      <c r="BB54" s="17"/>
      <c r="BC54" s="17"/>
      <c r="BD54" s="17"/>
      <c r="BE54" s="17"/>
      <c r="BF54" s="17"/>
      <c r="BG54" s="17"/>
      <c r="BH54" s="29"/>
      <c r="BI54" s="29"/>
    </row>
    <row r="55" spans="1:61" customFormat="1" ht="100" customHeight="1" x14ac:dyDescent="0.35">
      <c r="A55" s="21" t="str">
        <f t="shared" si="1"/>
        <v xml:space="preserve">53: Healthcare | Outpatient | </v>
      </c>
      <c r="B55" s="24">
        <v>53</v>
      </c>
      <c r="C55" s="25" t="s">
        <v>396</v>
      </c>
      <c r="D55" s="25" t="s">
        <v>409</v>
      </c>
      <c r="E55" s="25"/>
      <c r="F55" s="24">
        <v>92</v>
      </c>
      <c r="G55" s="24">
        <v>99</v>
      </c>
      <c r="H55" s="26">
        <v>0.8</v>
      </c>
      <c r="I55" s="26">
        <v>1.1000000000000001</v>
      </c>
      <c r="J55" s="26">
        <v>1.3</v>
      </c>
      <c r="K55" s="27" t="s">
        <v>410</v>
      </c>
      <c r="L55" s="27" t="s">
        <v>411</v>
      </c>
      <c r="M55" s="27" t="str">
        <f>IFERROR(VLOOKUP($O55,Lookups!$AA$3:$AB$14,2,FALSE),"")&amp;" "&amp;IFERROR(VLOOKUP($P55,Lookups!$AA$3:$AB$14,2,FALSE),"")</f>
        <v xml:space="preserve">The weekly hours are the hours that the majority of the building is open to serve the public. Health care buildings may use other weekly hours if they are required to operate building systems additional hours to protect patient and staff safety. Provide documentation of the requirement in the energy management plan. </v>
      </c>
      <c r="N55" s="16"/>
      <c r="O55" s="24">
        <v>4</v>
      </c>
      <c r="P55" s="24">
        <v>7</v>
      </c>
      <c r="Q55" s="24"/>
      <c r="R55" s="24"/>
      <c r="S55" s="24"/>
      <c r="T55" s="16"/>
      <c r="U55" s="24"/>
      <c r="V55" s="24"/>
      <c r="W55" s="24"/>
      <c r="X55" s="16"/>
      <c r="Y55" s="16"/>
      <c r="Z55" s="16"/>
      <c r="AA55" s="16"/>
      <c r="AB55" s="16"/>
      <c r="AC55" s="16"/>
      <c r="AD55" s="16"/>
      <c r="AE55" s="16"/>
      <c r="AF55" s="16"/>
      <c r="AG55" s="16"/>
      <c r="AH55" s="16"/>
      <c r="AI55" s="20" t="str">
        <f>IFERROR(IF(VLOOKUP('EUIt Sheet'!$C55,Lookups!$A$3:$V$116,21,FALSE)="","Regular",VLOOKUP('EUIt Sheet'!$C55,Lookups!$A$3:$V$116,21,FALSE)),"")</f>
        <v/>
      </c>
      <c r="AJ55" s="169" t="str">
        <f>IF(AL55&gt;=35000,IF(Lookups!AI55="Special Tier 2","Special Tier 2","Tier 1"),IF(AL55&gt;=20000,IF(Lookups!AI55="Special Tier 2","Not Covered","Regular Tier 2"),"Not Covered"))</f>
        <v>Not Covered</v>
      </c>
      <c r="AK55" s="24" t="str">
        <f>IF(OR('EUIt Sheet'!$G$2="Yes"),IF(IFERROR(VLOOKUP("Special Tier 2",$AJ$10:$AL$70,3,FALSE),0)&gt;0,IF(AJ55="Tier 1","Extended Tier 2",AJ55),AJ55),AJ55)</f>
        <v>Not Covered</v>
      </c>
      <c r="AL55" s="33">
        <f>'EUIt Sheet'!D55</f>
        <v>0</v>
      </c>
      <c r="AM55" s="16"/>
      <c r="AN55" s="16"/>
      <c r="AO55" s="16"/>
      <c r="AP55" s="16"/>
      <c r="AQ55" s="16"/>
      <c r="AR55" s="16"/>
      <c r="AS55" s="16"/>
      <c r="AT55" s="16"/>
      <c r="AU55" s="17"/>
      <c r="AV55" s="17"/>
      <c r="AW55" s="17"/>
      <c r="AX55" s="17"/>
      <c r="AY55" s="17"/>
      <c r="AZ55" s="17"/>
      <c r="BA55" s="17"/>
      <c r="BB55" s="17"/>
      <c r="BC55" s="17"/>
      <c r="BD55" s="17"/>
      <c r="BE55" s="17"/>
      <c r="BF55" s="17"/>
      <c r="BG55" s="17"/>
      <c r="BH55" s="29"/>
      <c r="BI55" s="29"/>
    </row>
    <row r="56" spans="1:61" customFormat="1" ht="100" customHeight="1" x14ac:dyDescent="0.35">
      <c r="A56" s="21" t="str">
        <f t="shared" si="1"/>
        <v xml:space="preserve">54: Healthcare | Residential care facility | </v>
      </c>
      <c r="B56" s="24">
        <v>54</v>
      </c>
      <c r="C56" s="25" t="s">
        <v>396</v>
      </c>
      <c r="D56" s="25" t="s">
        <v>412</v>
      </c>
      <c r="E56" s="25"/>
      <c r="F56" s="24">
        <v>79</v>
      </c>
      <c r="G56" s="24">
        <v>83</v>
      </c>
      <c r="H56" s="26">
        <v>1</v>
      </c>
      <c r="I56" s="26">
        <v>1</v>
      </c>
      <c r="J56" s="26">
        <v>1</v>
      </c>
      <c r="K56" s="27" t="s">
        <v>413</v>
      </c>
      <c r="L56" s="27" t="s">
        <v>414</v>
      </c>
      <c r="M56" s="27" t="s">
        <v>403</v>
      </c>
      <c r="N56" s="16"/>
      <c r="O56" s="24"/>
      <c r="P56" s="24"/>
      <c r="Q56" s="24">
        <v>11</v>
      </c>
      <c r="R56" s="24">
        <v>10</v>
      </c>
      <c r="S56" s="16"/>
      <c r="T56" s="16"/>
      <c r="U56" s="24" t="s">
        <v>160</v>
      </c>
      <c r="V56" s="24"/>
      <c r="W56" s="24"/>
      <c r="X56" s="16"/>
      <c r="Y56" s="16"/>
      <c r="Z56" s="16"/>
      <c r="AA56" s="16"/>
      <c r="AB56" s="16"/>
      <c r="AC56" s="16"/>
      <c r="AD56" s="16"/>
      <c r="AE56" s="16"/>
      <c r="AF56" s="16"/>
      <c r="AG56" s="16"/>
      <c r="AH56" s="16"/>
      <c r="AI56" s="20" t="str">
        <f>IFERROR(IF(VLOOKUP('EUIt Sheet'!$C56,Lookups!$A$3:$V$116,21,FALSE)="","Regular",VLOOKUP('EUIt Sheet'!$C56,Lookups!$A$3:$V$116,21,FALSE)),"")</f>
        <v/>
      </c>
      <c r="AJ56" s="169" t="str">
        <f>IF(AL56&gt;=35000,IF(Lookups!AI56="Special Tier 2","Special Tier 2","Tier 1"),IF(AL56&gt;=20000,IF(Lookups!AI56="Special Tier 2","Not Covered","Regular Tier 2"),"Not Covered"))</f>
        <v>Not Covered</v>
      </c>
      <c r="AK56" s="24" t="str">
        <f>IF(OR('EUIt Sheet'!$G$2="Yes"),IF(IFERROR(VLOOKUP("Special Tier 2",$AJ$10:$AL$70,3,FALSE),0)&gt;0,IF(AJ56="Tier 1","Extended Tier 2",AJ56),AJ56),AJ56)</f>
        <v>Not Covered</v>
      </c>
      <c r="AL56" s="33">
        <f>'EUIt Sheet'!D56</f>
        <v>0</v>
      </c>
      <c r="AM56" s="16"/>
      <c r="AN56" s="16"/>
      <c r="AO56" s="16"/>
      <c r="AP56" s="16"/>
      <c r="AQ56" s="16"/>
      <c r="AR56" s="16"/>
      <c r="AS56" s="16"/>
      <c r="AT56" s="16"/>
      <c r="AU56" s="17"/>
      <c r="AV56" s="17"/>
      <c r="AW56" s="17"/>
      <c r="AX56" s="17"/>
      <c r="AY56" s="17"/>
      <c r="AZ56" s="17"/>
      <c r="BA56" s="17"/>
      <c r="BB56" s="17"/>
      <c r="BC56" s="17"/>
      <c r="BD56" s="17"/>
      <c r="BE56" s="17"/>
      <c r="BF56" s="17"/>
      <c r="BG56" s="17"/>
      <c r="BH56" s="29"/>
      <c r="BI56" s="29"/>
    </row>
    <row r="57" spans="1:61" customFormat="1" ht="100" customHeight="1" x14ac:dyDescent="0.35">
      <c r="A57" s="21" t="str">
        <f t="shared" si="1"/>
        <v xml:space="preserve">55: Healthcare | Senior care community | </v>
      </c>
      <c r="B57" s="24">
        <v>55</v>
      </c>
      <c r="C57" s="25" t="s">
        <v>396</v>
      </c>
      <c r="D57" s="25" t="s">
        <v>415</v>
      </c>
      <c r="E57" s="25"/>
      <c r="F57" s="24">
        <v>79</v>
      </c>
      <c r="G57" s="24">
        <v>83</v>
      </c>
      <c r="H57" s="26">
        <v>1</v>
      </c>
      <c r="I57" s="26">
        <v>1</v>
      </c>
      <c r="J57" s="26">
        <v>1</v>
      </c>
      <c r="K57" s="27" t="s">
        <v>416</v>
      </c>
      <c r="L57" s="27" t="s">
        <v>414</v>
      </c>
      <c r="M57" s="27" t="s">
        <v>403</v>
      </c>
      <c r="N57" s="16"/>
      <c r="O57" s="24"/>
      <c r="P57" s="24"/>
      <c r="Q57" s="24">
        <v>11</v>
      </c>
      <c r="R57" s="24">
        <v>10</v>
      </c>
      <c r="S57" s="16"/>
      <c r="T57" s="16"/>
      <c r="U57" s="24" t="s">
        <v>160</v>
      </c>
      <c r="V57" s="24"/>
      <c r="W57" s="24"/>
      <c r="X57" s="16"/>
      <c r="Y57" s="16"/>
      <c r="Z57" s="16"/>
      <c r="AA57" s="16"/>
      <c r="AB57" s="16"/>
      <c r="AC57" s="16"/>
      <c r="AD57" s="16"/>
      <c r="AE57" s="16"/>
      <c r="AF57" s="16"/>
      <c r="AG57" s="16"/>
      <c r="AH57" s="16"/>
      <c r="AI57" s="20" t="str">
        <f>IFERROR(IF(VLOOKUP('EUIt Sheet'!$C57,Lookups!$A$3:$V$116,21,FALSE)="","Regular",VLOOKUP('EUIt Sheet'!$C57,Lookups!$A$3:$V$116,21,FALSE)),"")</f>
        <v/>
      </c>
      <c r="AJ57" s="169" t="str">
        <f>IF(AL57&gt;=35000,IF(Lookups!AI57="Special Tier 2","Special Tier 2","Tier 1"),IF(AL57&gt;=20000,IF(Lookups!AI57="Special Tier 2","Not Covered","Regular Tier 2"),"Not Covered"))</f>
        <v>Not Covered</v>
      </c>
      <c r="AK57" s="24" t="str">
        <f>IF(OR('EUIt Sheet'!$G$2="Yes"),IF(IFERROR(VLOOKUP("Special Tier 2",$AJ$10:$AL$70,3,FALSE),0)&gt;0,IF(AJ57="Tier 1","Extended Tier 2",AJ57),AJ57),AJ57)</f>
        <v>Not Covered</v>
      </c>
      <c r="AL57" s="33">
        <f>'EUIt Sheet'!D57</f>
        <v>0</v>
      </c>
      <c r="AM57" s="16"/>
      <c r="AN57" s="16"/>
      <c r="AO57" s="16"/>
      <c r="AP57" s="16"/>
      <c r="AQ57" s="16"/>
      <c r="AR57" s="16"/>
      <c r="AS57" s="16"/>
      <c r="AT57" s="16"/>
      <c r="AU57" s="17"/>
      <c r="AV57" s="17"/>
      <c r="AW57" s="17"/>
      <c r="AX57" s="17"/>
      <c r="AY57" s="17"/>
      <c r="AZ57" s="17"/>
      <c r="BA57" s="17"/>
      <c r="BB57" s="17"/>
      <c r="BC57" s="17"/>
      <c r="BD57" s="17"/>
      <c r="BE57" s="17"/>
      <c r="BF57" s="17"/>
      <c r="BG57" s="17"/>
      <c r="BH57" s="29"/>
      <c r="BI57" s="29"/>
    </row>
    <row r="58" spans="1:61" customFormat="1" ht="100" customHeight="1" x14ac:dyDescent="0.35">
      <c r="A58" s="21" t="str">
        <f t="shared" si="1"/>
        <v xml:space="preserve">56: Healthcare | Urgent care / clinic / other outpatient | </v>
      </c>
      <c r="B58" s="24">
        <v>56</v>
      </c>
      <c r="C58" s="25" t="s">
        <v>396</v>
      </c>
      <c r="D58" s="25" t="s">
        <v>417</v>
      </c>
      <c r="E58" s="25"/>
      <c r="F58" s="24">
        <v>92</v>
      </c>
      <c r="G58" s="24">
        <v>99</v>
      </c>
      <c r="H58" s="26">
        <v>0.8</v>
      </c>
      <c r="I58" s="26">
        <v>1.1000000000000001</v>
      </c>
      <c r="J58" s="26">
        <v>1.3</v>
      </c>
      <c r="K58" s="27" t="s">
        <v>418</v>
      </c>
      <c r="L58" s="27" t="s">
        <v>419</v>
      </c>
      <c r="M58" s="27" t="str">
        <f>IFERROR(VLOOKUP($O58,Lookups!$AA$3:$AB$14,2,FALSE),"")&amp;" "&amp;IFERROR(VLOOKUP($P58,Lookups!$AA$3:$AB$14,2,FALSE),"")</f>
        <v xml:space="preserve">The weekly hours are the hours that the majority of the building is open to serve the public. Health care buildings may use other weekly hours if they are required to operate building systems additional hours to protect patient and staff safety. Provide documentation of the requirement in the energy management plan. </v>
      </c>
      <c r="N58" s="16"/>
      <c r="O58" s="24">
        <v>4</v>
      </c>
      <c r="P58" s="24">
        <v>7</v>
      </c>
      <c r="Q58" s="24"/>
      <c r="R58" s="24"/>
      <c r="S58" s="24"/>
      <c r="T58" s="16"/>
      <c r="U58" s="24"/>
      <c r="V58" s="24"/>
      <c r="W58" s="24"/>
      <c r="X58" s="16"/>
      <c r="Y58" s="16"/>
      <c r="Z58" s="16"/>
      <c r="AA58" s="16"/>
      <c r="AB58" s="16"/>
      <c r="AC58" s="16"/>
      <c r="AD58" s="16"/>
      <c r="AE58" s="16"/>
      <c r="AF58" s="16"/>
      <c r="AG58" s="16"/>
      <c r="AH58" s="16"/>
      <c r="AI58" s="20" t="str">
        <f>IFERROR(IF(VLOOKUP('EUIt Sheet'!$C58,Lookups!$A$3:$V$116,21,FALSE)="","Regular",VLOOKUP('EUIt Sheet'!$C58,Lookups!$A$3:$V$116,21,FALSE)),"")</f>
        <v/>
      </c>
      <c r="AJ58" s="169" t="str">
        <f>IF(AL58&gt;=35000,IF(Lookups!AI58="Special Tier 2","Special Tier 2","Tier 1"),IF(AL58&gt;=20000,IF(Lookups!AI58="Special Tier 2","Not Covered","Regular Tier 2"),"Not Covered"))</f>
        <v>Not Covered</v>
      </c>
      <c r="AK58" s="24" t="str">
        <f>IF(OR('EUIt Sheet'!$G$2="Yes"),IF(IFERROR(VLOOKUP("Special Tier 2",$AJ$10:$AL$70,3,FALSE),0)&gt;0,IF(AJ58="Tier 1","Extended Tier 2",AJ58),AJ58),AJ58)</f>
        <v>Not Covered</v>
      </c>
      <c r="AL58" s="33">
        <f>'EUIt Sheet'!D58</f>
        <v>0</v>
      </c>
      <c r="AM58" s="16"/>
      <c r="AN58" s="16"/>
      <c r="AO58" s="16"/>
      <c r="AP58" s="16"/>
      <c r="AQ58" s="16"/>
      <c r="AR58" s="16"/>
      <c r="AS58" s="16"/>
      <c r="AT58" s="16"/>
      <c r="AU58" s="17"/>
      <c r="AV58" s="17"/>
      <c r="AW58" s="17"/>
      <c r="AX58" s="17"/>
      <c r="AY58" s="17"/>
      <c r="AZ58" s="17"/>
      <c r="BA58" s="17"/>
      <c r="BB58" s="17"/>
      <c r="BC58" s="17"/>
      <c r="BD58" s="17"/>
      <c r="BE58" s="17"/>
      <c r="BF58" s="17"/>
      <c r="BG58" s="17"/>
      <c r="BH58" s="29"/>
      <c r="BI58" s="29"/>
    </row>
    <row r="59" spans="1:61" customFormat="1" ht="100" customHeight="1" x14ac:dyDescent="0.35">
      <c r="A59" s="21" t="str">
        <f t="shared" si="1"/>
        <v xml:space="preserve">57: Healthcare | Other - specialty hospital | </v>
      </c>
      <c r="B59" s="24">
        <v>57</v>
      </c>
      <c r="C59" s="25" t="s">
        <v>396</v>
      </c>
      <c r="D59" s="25" t="s">
        <v>420</v>
      </c>
      <c r="E59" s="25"/>
      <c r="F59" s="24">
        <v>203</v>
      </c>
      <c r="G59" s="24">
        <v>203</v>
      </c>
      <c r="H59" s="26">
        <v>1</v>
      </c>
      <c r="I59" s="26">
        <v>1</v>
      </c>
      <c r="J59" s="26">
        <v>1</v>
      </c>
      <c r="K59" s="27" t="s">
        <v>421</v>
      </c>
      <c r="L59" s="27" t="s">
        <v>422</v>
      </c>
      <c r="M59" s="27" t="str">
        <f>IFERROR(VLOOKUP($O59,Lookups!$AA$3:$AB$14,2,FALSE),"")&amp;" "&amp;IFERROR(VLOOKUP($P59,Lookups!$AA$3:$AB$14,2,FALSE),"")</f>
        <v xml:space="preserve">The weekly hours are the hours that the majority of the building is open to serve the public. </v>
      </c>
      <c r="N59" s="16"/>
      <c r="O59" s="24">
        <v>4</v>
      </c>
      <c r="P59" s="24"/>
      <c r="Q59" s="24">
        <v>11</v>
      </c>
      <c r="R59" s="24">
        <v>10</v>
      </c>
      <c r="S59" s="24"/>
      <c r="T59" s="16"/>
      <c r="U59" s="24" t="s">
        <v>160</v>
      </c>
      <c r="V59" s="24"/>
      <c r="W59" s="24"/>
      <c r="X59" s="16"/>
      <c r="Y59" s="16"/>
      <c r="Z59" s="16"/>
      <c r="AA59" s="16"/>
      <c r="AB59" s="16"/>
      <c r="AC59" s="16"/>
      <c r="AD59" s="16"/>
      <c r="AE59" s="16"/>
      <c r="AF59" s="16"/>
      <c r="AG59" s="16"/>
      <c r="AH59" s="16"/>
      <c r="AI59" s="20" t="str">
        <f>IFERROR(IF(VLOOKUP('EUIt Sheet'!$C59,Lookups!$A$3:$V$116,21,FALSE)="","Regular",VLOOKUP('EUIt Sheet'!$C59,Lookups!$A$3:$V$116,21,FALSE)),"")</f>
        <v/>
      </c>
      <c r="AJ59" s="169" t="str">
        <f>IF(AL59&gt;=35000,IF(Lookups!AI59="Special Tier 2","Special Tier 2","Tier 1"),IF(AL59&gt;=20000,IF(Lookups!AI59="Special Tier 2","Not Covered","Regular Tier 2"),"Not Covered"))</f>
        <v>Not Covered</v>
      </c>
      <c r="AK59" s="24" t="str">
        <f>IF(OR('EUIt Sheet'!$G$2="Yes"),IF(IFERROR(VLOOKUP("Special Tier 2",$AJ$10:$AL$70,3,FALSE),0)&gt;0,IF(AJ59="Tier 1","Extended Tier 2",AJ59),AJ59),AJ59)</f>
        <v>Not Covered</v>
      </c>
      <c r="AL59" s="33">
        <f>'EUIt Sheet'!D59</f>
        <v>0</v>
      </c>
      <c r="AM59" s="16"/>
      <c r="AN59" s="16"/>
      <c r="AO59" s="16"/>
      <c r="AP59" s="16"/>
      <c r="AQ59" s="16"/>
      <c r="AR59" s="16"/>
      <c r="AS59" s="16"/>
      <c r="AT59" s="16"/>
      <c r="AU59" s="17"/>
      <c r="AV59" s="17"/>
      <c r="AW59" s="17"/>
      <c r="AX59" s="17"/>
      <c r="AY59" s="17"/>
      <c r="AZ59" s="17"/>
      <c r="BA59" s="17"/>
      <c r="BB59" s="17"/>
      <c r="BC59" s="17"/>
      <c r="BD59" s="17"/>
      <c r="BE59" s="17"/>
      <c r="BF59" s="17"/>
      <c r="BG59" s="17"/>
      <c r="BH59" s="29"/>
      <c r="BI59" s="29"/>
    </row>
    <row r="60" spans="1:61" customFormat="1" ht="100" customHeight="1" x14ac:dyDescent="0.35">
      <c r="A60" s="21" t="str">
        <f t="shared" si="1"/>
        <v xml:space="preserve">58: Lodging / residential | Barracks | </v>
      </c>
      <c r="B60" s="24">
        <v>58</v>
      </c>
      <c r="C60" s="25" t="s">
        <v>423</v>
      </c>
      <c r="D60" s="25" t="s">
        <v>424</v>
      </c>
      <c r="E60" s="25"/>
      <c r="F60" s="24">
        <v>63</v>
      </c>
      <c r="G60" s="24">
        <v>64</v>
      </c>
      <c r="H60" s="26">
        <v>1</v>
      </c>
      <c r="I60" s="26">
        <v>1</v>
      </c>
      <c r="J60" s="26">
        <v>1</v>
      </c>
      <c r="K60" s="27" t="s">
        <v>425</v>
      </c>
      <c r="L60" s="27" t="s">
        <v>426</v>
      </c>
      <c r="M60" s="27" t="s">
        <v>403</v>
      </c>
      <c r="N60" s="16"/>
      <c r="O60" s="24"/>
      <c r="P60" s="24"/>
      <c r="Q60" s="24">
        <v>11</v>
      </c>
      <c r="R60" s="24">
        <v>10</v>
      </c>
      <c r="S60" s="24"/>
      <c r="T60" s="16"/>
      <c r="U60" s="24" t="s">
        <v>160</v>
      </c>
      <c r="V60" s="24"/>
      <c r="W60" s="24"/>
      <c r="X60" s="16"/>
      <c r="Y60" s="16"/>
      <c r="Z60" s="16"/>
      <c r="AA60" s="16"/>
      <c r="AB60" s="16"/>
      <c r="AC60" s="16"/>
      <c r="AD60" s="16"/>
      <c r="AE60" s="16"/>
      <c r="AF60" s="16"/>
      <c r="AG60" s="16"/>
      <c r="AH60" s="16"/>
      <c r="AI60" s="20" t="str">
        <f>IFERROR(IF(VLOOKUP('EUIt Sheet'!$C60,Lookups!$A$3:$V$116,21,FALSE)="","Regular",VLOOKUP('EUIt Sheet'!$C60,Lookups!$A$3:$V$116,21,FALSE)),"")</f>
        <v/>
      </c>
      <c r="AJ60" s="169" t="str">
        <f>IF(AL60&gt;=35000,IF(Lookups!AI60="Special Tier 2","Special Tier 2","Tier 1"),IF(AL60&gt;=20000,IF(Lookups!AI60="Special Tier 2","Not Covered","Regular Tier 2"),"Not Covered"))</f>
        <v>Not Covered</v>
      </c>
      <c r="AK60" s="24" t="str">
        <f>IF(OR('EUIt Sheet'!$G$2="Yes"),IF(IFERROR(VLOOKUP("Special Tier 2",$AJ$10:$AL$70,3,FALSE),0)&gt;0,IF(AJ60="Tier 1","Extended Tier 2",AJ60),AJ60),AJ60)</f>
        <v>Not Covered</v>
      </c>
      <c r="AL60" s="33">
        <f>'EUIt Sheet'!D60</f>
        <v>0</v>
      </c>
      <c r="AM60" s="16"/>
      <c r="AN60" s="16"/>
      <c r="AO60" s="16"/>
      <c r="AP60" s="16"/>
      <c r="AQ60" s="16"/>
      <c r="AR60" s="16"/>
      <c r="AS60" s="16"/>
      <c r="AT60" s="16"/>
      <c r="AU60" s="17"/>
      <c r="AV60" s="17"/>
      <c r="AW60" s="17"/>
      <c r="AX60" s="17"/>
      <c r="AY60" s="17"/>
      <c r="AZ60" s="17"/>
      <c r="BA60" s="17"/>
      <c r="BB60" s="17"/>
      <c r="BC60" s="17"/>
      <c r="BD60" s="17"/>
      <c r="BE60" s="17"/>
      <c r="BF60" s="17"/>
      <c r="BG60" s="17"/>
      <c r="BH60" s="29"/>
      <c r="BI60" s="29"/>
    </row>
    <row r="61" spans="1:61" customFormat="1" ht="100" customHeight="1" x14ac:dyDescent="0.35">
      <c r="A61" s="21" t="str">
        <f t="shared" si="1"/>
        <v>59: Lodging / residential | Hotel | Hotel</v>
      </c>
      <c r="B61" s="24">
        <v>59</v>
      </c>
      <c r="C61" s="25" t="s">
        <v>423</v>
      </c>
      <c r="D61" s="25" t="s">
        <v>427</v>
      </c>
      <c r="E61" s="25" t="s">
        <v>427</v>
      </c>
      <c r="F61" s="24">
        <v>65</v>
      </c>
      <c r="G61" s="24">
        <v>69</v>
      </c>
      <c r="H61" s="26">
        <v>1</v>
      </c>
      <c r="I61" s="26">
        <v>1</v>
      </c>
      <c r="J61" s="26">
        <v>1</v>
      </c>
      <c r="K61" s="27" t="s">
        <v>428</v>
      </c>
      <c r="L61" s="27" t="s">
        <v>429</v>
      </c>
      <c r="M61" s="27" t="s">
        <v>403</v>
      </c>
      <c r="N61" s="16"/>
      <c r="O61" s="24"/>
      <c r="P61" s="24"/>
      <c r="Q61" s="24"/>
      <c r="R61" s="24"/>
      <c r="S61" s="24"/>
      <c r="T61" s="16"/>
      <c r="U61" s="24"/>
      <c r="V61" s="24"/>
      <c r="W61" s="24"/>
      <c r="X61" s="16"/>
      <c r="Y61" s="16"/>
      <c r="Z61" s="16"/>
      <c r="AA61" s="16"/>
      <c r="AB61" s="16"/>
      <c r="AC61" s="16"/>
      <c r="AD61" s="16"/>
      <c r="AE61" s="16"/>
      <c r="AF61" s="16"/>
      <c r="AG61" s="16"/>
      <c r="AH61" s="16"/>
      <c r="AI61" s="20" t="str">
        <f>IFERROR(IF(VLOOKUP('EUIt Sheet'!$C61,Lookups!$A$3:$V$116,21,FALSE)="","Regular",VLOOKUP('EUIt Sheet'!$C61,Lookups!$A$3:$V$116,21,FALSE)),"")</f>
        <v/>
      </c>
      <c r="AJ61" s="169" t="str">
        <f>IF(AL61&gt;=35000,IF(Lookups!AI61="Special Tier 2","Special Tier 2","Tier 1"),IF(AL61&gt;=20000,IF(Lookups!AI61="Special Tier 2","Not Covered","Regular Tier 2"),"Not Covered"))</f>
        <v>Not Covered</v>
      </c>
      <c r="AK61" s="24" t="str">
        <f>IF(OR('EUIt Sheet'!$G$2="Yes"),IF(IFERROR(VLOOKUP("Special Tier 2",$AJ$10:$AL$70,3,FALSE),0)&gt;0,IF(AJ61="Tier 1","Extended Tier 2",AJ61),AJ61),AJ61)</f>
        <v>Not Covered</v>
      </c>
      <c r="AL61" s="33">
        <f>'EUIt Sheet'!D61</f>
        <v>0</v>
      </c>
      <c r="AM61" s="16"/>
      <c r="AN61" s="16"/>
      <c r="AO61" s="16"/>
      <c r="AP61" s="16"/>
      <c r="AQ61" s="16"/>
      <c r="AR61" s="16"/>
      <c r="AS61" s="16"/>
      <c r="AT61" s="16"/>
      <c r="AU61" s="17"/>
      <c r="AV61" s="17"/>
      <c r="AW61" s="17"/>
      <c r="AX61" s="17"/>
      <c r="AY61" s="17"/>
      <c r="AZ61" s="17"/>
      <c r="BA61" s="17"/>
      <c r="BB61" s="17"/>
      <c r="BC61" s="17"/>
      <c r="BD61" s="17"/>
      <c r="BE61" s="17"/>
      <c r="BF61" s="17"/>
      <c r="BG61" s="17"/>
      <c r="BH61" s="29"/>
      <c r="BI61" s="29"/>
    </row>
    <row r="62" spans="1:61" customFormat="1" ht="100" customHeight="1" x14ac:dyDescent="0.35">
      <c r="A62" s="21" t="str">
        <f t="shared" si="1"/>
        <v>60: Lodging / residential | Hotel | Motel or inn</v>
      </c>
      <c r="B62" s="24">
        <v>60</v>
      </c>
      <c r="C62" s="25" t="s">
        <v>423</v>
      </c>
      <c r="D62" s="25" t="s">
        <v>427</v>
      </c>
      <c r="E62" s="25" t="s">
        <v>430</v>
      </c>
      <c r="F62" s="24">
        <v>83</v>
      </c>
      <c r="G62" s="24">
        <v>87</v>
      </c>
      <c r="H62" s="26">
        <v>1</v>
      </c>
      <c r="I62" s="26">
        <v>1</v>
      </c>
      <c r="J62" s="26">
        <v>1</v>
      </c>
      <c r="K62" s="27" t="s">
        <v>431</v>
      </c>
      <c r="L62" s="27" t="s">
        <v>429</v>
      </c>
      <c r="M62" s="27" t="s">
        <v>403</v>
      </c>
      <c r="N62" s="16"/>
      <c r="O62" s="24"/>
      <c r="P62" s="24"/>
      <c r="Q62" s="24"/>
      <c r="R62" s="24"/>
      <c r="S62" s="24"/>
      <c r="T62" s="16"/>
      <c r="U62" s="24"/>
      <c r="V62" s="24"/>
      <c r="W62" s="24"/>
      <c r="X62" s="16"/>
      <c r="Y62" s="16"/>
      <c r="Z62" s="16"/>
      <c r="AA62" s="16"/>
      <c r="AB62" s="16"/>
      <c r="AC62" s="16"/>
      <c r="AD62" s="16"/>
      <c r="AE62" s="16"/>
      <c r="AF62" s="16"/>
      <c r="AG62" s="16"/>
      <c r="AH62" s="16"/>
      <c r="AI62" s="20" t="str">
        <f>IFERROR(IF(VLOOKUP('EUIt Sheet'!$C62,Lookups!$A$3:$V$116,21,FALSE)="","Regular",VLOOKUP('EUIt Sheet'!$C62,Lookups!$A$3:$V$116,21,FALSE)),"")</f>
        <v/>
      </c>
      <c r="AJ62" s="169" t="str">
        <f>IF(AL62&gt;=35000,IF(Lookups!AI62="Special Tier 2","Special Tier 2","Tier 1"),IF(AL62&gt;=20000,IF(Lookups!AI62="Special Tier 2","Not Covered","Regular Tier 2"),"Not Covered"))</f>
        <v>Not Covered</v>
      </c>
      <c r="AK62" s="24" t="str">
        <f>IF(OR('EUIt Sheet'!$G$2="Yes"),IF(IFERROR(VLOOKUP("Special Tier 2",$AJ$10:$AL$70,3,FALSE),0)&gt;0,IF(AJ62="Tier 1","Extended Tier 2",AJ62),AJ62),AJ62)</f>
        <v>Not Covered</v>
      </c>
      <c r="AL62" s="33">
        <f>'EUIt Sheet'!D62</f>
        <v>0</v>
      </c>
      <c r="AM62" s="16"/>
      <c r="AN62" s="16"/>
      <c r="AO62" s="16"/>
      <c r="AP62" s="16"/>
      <c r="AQ62" s="16"/>
      <c r="AR62" s="16"/>
      <c r="AS62" s="16"/>
      <c r="AT62" s="16"/>
      <c r="AU62" s="17"/>
      <c r="AV62" s="17"/>
      <c r="AW62" s="17"/>
      <c r="AX62" s="17"/>
      <c r="AY62" s="17"/>
      <c r="AZ62" s="17"/>
      <c r="BA62" s="17"/>
      <c r="BB62" s="17"/>
      <c r="BC62" s="17"/>
      <c r="BD62" s="17"/>
      <c r="BE62" s="17"/>
      <c r="BF62" s="17"/>
      <c r="BG62" s="17"/>
      <c r="BH62" s="29"/>
      <c r="BI62" s="29"/>
    </row>
    <row r="63" spans="1:61" customFormat="1" ht="100" customHeight="1" x14ac:dyDescent="0.35">
      <c r="A63" s="21" t="str">
        <f t="shared" si="1"/>
        <v xml:space="preserve">61: Lodging / residential | Multifamily housing | </v>
      </c>
      <c r="B63" s="24">
        <v>61</v>
      </c>
      <c r="C63" s="25" t="s">
        <v>423</v>
      </c>
      <c r="D63" s="25" t="s">
        <v>432</v>
      </c>
      <c r="E63" s="25"/>
      <c r="F63" s="24">
        <v>32</v>
      </c>
      <c r="G63" s="24">
        <v>33</v>
      </c>
      <c r="H63" s="26">
        <v>1</v>
      </c>
      <c r="I63" s="26">
        <v>1</v>
      </c>
      <c r="J63" s="26">
        <v>1</v>
      </c>
      <c r="K63" s="27" t="s">
        <v>433</v>
      </c>
      <c r="L63" s="27" t="s">
        <v>434</v>
      </c>
      <c r="M63" s="27" t="s">
        <v>403</v>
      </c>
      <c r="N63" s="16"/>
      <c r="O63" s="24"/>
      <c r="P63" s="24"/>
      <c r="Q63" s="24">
        <v>11</v>
      </c>
      <c r="R63" s="24">
        <v>9</v>
      </c>
      <c r="S63" s="24">
        <v>10</v>
      </c>
      <c r="T63" s="16"/>
      <c r="U63" s="24" t="s">
        <v>160</v>
      </c>
      <c r="V63" s="24"/>
      <c r="W63" s="24"/>
      <c r="X63" s="16"/>
      <c r="Y63" s="16"/>
      <c r="Z63" s="16"/>
      <c r="AA63" s="16"/>
      <c r="AB63" s="16"/>
      <c r="AC63" s="16"/>
      <c r="AD63" s="16"/>
      <c r="AE63" s="16"/>
      <c r="AF63" s="16"/>
      <c r="AG63" s="16"/>
      <c r="AH63" s="16"/>
      <c r="AI63" s="20" t="str">
        <f>IFERROR(IF(VLOOKUP('EUIt Sheet'!$C63,Lookups!$A$3:$V$116,21,FALSE)="","Regular",VLOOKUP('EUIt Sheet'!$C63,Lookups!$A$3:$V$116,21,FALSE)),"")</f>
        <v/>
      </c>
      <c r="AJ63" s="169" t="str">
        <f>IF(AL63&gt;=35000,IF(Lookups!AI63="Special Tier 2","Special Tier 2","Tier 1"),IF(AL63&gt;=20000,IF(Lookups!AI63="Special Tier 2","Not Covered","Regular Tier 2"),"Not Covered"))</f>
        <v>Not Covered</v>
      </c>
      <c r="AK63" s="24" t="str">
        <f>IF(OR('EUIt Sheet'!$G$2="Yes"),IF(IFERROR(VLOOKUP("Special Tier 2",$AJ$10:$AL$70,3,FALSE),0)&gt;0,IF(AJ63="Tier 1","Extended Tier 2",AJ63),AJ63),AJ63)</f>
        <v>Not Covered</v>
      </c>
      <c r="AL63" s="33">
        <f>'EUIt Sheet'!D63</f>
        <v>0</v>
      </c>
      <c r="AM63" s="16"/>
      <c r="AN63" s="16"/>
      <c r="AO63" s="16"/>
      <c r="AP63" s="16"/>
      <c r="AQ63" s="16"/>
      <c r="AR63" s="16"/>
      <c r="AS63" s="16"/>
      <c r="AT63" s="16"/>
      <c r="AU63" s="17"/>
      <c r="AV63" s="17"/>
      <c r="AW63" s="17"/>
      <c r="AX63" s="17"/>
      <c r="AY63" s="17"/>
      <c r="AZ63" s="17"/>
      <c r="BA63" s="17"/>
      <c r="BB63" s="17"/>
      <c r="BC63" s="17"/>
      <c r="BD63" s="17"/>
      <c r="BE63" s="17"/>
      <c r="BF63" s="17"/>
      <c r="BG63" s="17"/>
      <c r="BH63" s="29"/>
      <c r="BI63" s="29"/>
    </row>
    <row r="64" spans="1:61" customFormat="1" ht="100" customHeight="1" x14ac:dyDescent="0.35">
      <c r="A64" s="21" t="str">
        <f t="shared" si="1"/>
        <v xml:space="preserve">62: Lodging / residential | Prison / incarceration | </v>
      </c>
      <c r="B64" s="24">
        <v>62</v>
      </c>
      <c r="C64" s="25" t="s">
        <v>423</v>
      </c>
      <c r="D64" s="25" t="s">
        <v>435</v>
      </c>
      <c r="E64" s="25"/>
      <c r="F64" s="24">
        <v>100</v>
      </c>
      <c r="G64" s="24">
        <v>105</v>
      </c>
      <c r="H64" s="26">
        <v>1</v>
      </c>
      <c r="I64" s="26">
        <v>1</v>
      </c>
      <c r="J64" s="26">
        <v>1</v>
      </c>
      <c r="K64" s="27" t="s">
        <v>436</v>
      </c>
      <c r="L64" s="27" t="s">
        <v>437</v>
      </c>
      <c r="M64" s="27" t="s">
        <v>403</v>
      </c>
      <c r="N64" s="16"/>
      <c r="O64" s="24"/>
      <c r="P64" s="24"/>
      <c r="Q64" s="24">
        <v>10</v>
      </c>
      <c r="R64" s="24">
        <v>9</v>
      </c>
      <c r="S64" s="24">
        <v>10</v>
      </c>
      <c r="T64" s="16"/>
      <c r="U64" s="24"/>
      <c r="V64" s="24"/>
      <c r="W64" s="24"/>
      <c r="X64" s="16"/>
      <c r="Y64" s="16"/>
      <c r="Z64" s="16"/>
      <c r="AA64" s="16"/>
      <c r="AB64" s="16"/>
      <c r="AC64" s="16"/>
      <c r="AD64" s="16"/>
      <c r="AE64" s="16"/>
      <c r="AF64" s="16"/>
      <c r="AG64" s="16"/>
      <c r="AH64" s="16"/>
      <c r="AI64" s="20" t="str">
        <f>IFERROR(IF(VLOOKUP('EUIt Sheet'!$C64,Lookups!$A$3:$V$116,21,FALSE)="","Regular",VLOOKUP('EUIt Sheet'!$C64,Lookups!$A$3:$V$116,21,FALSE)),"")</f>
        <v/>
      </c>
      <c r="AJ64" s="169" t="str">
        <f>IF(AL64&gt;=35000,IF(Lookups!AI64="Special Tier 2","Special Tier 2","Tier 1"),IF(AL64&gt;=20000,IF(Lookups!AI64="Special Tier 2","Not Covered","Regular Tier 2"),"Not Covered"))</f>
        <v>Not Covered</v>
      </c>
      <c r="AK64" s="24" t="str">
        <f>IF(OR('EUIt Sheet'!$G$2="Yes"),IF(IFERROR(VLOOKUP("Special Tier 2",$AJ$10:$AL$70,3,FALSE),0)&gt;0,IF(AJ64="Tier 1","Extended Tier 2",AJ64),AJ64),AJ64)</f>
        <v>Not Covered</v>
      </c>
      <c r="AL64" s="33">
        <f>'EUIt Sheet'!D64</f>
        <v>0</v>
      </c>
      <c r="AM64" s="16"/>
      <c r="AN64" s="16"/>
      <c r="AO64" s="16"/>
      <c r="AP64" s="16"/>
      <c r="AQ64" s="16"/>
      <c r="AR64" s="16"/>
      <c r="AS64" s="16"/>
      <c r="AT64" s="16"/>
      <c r="AU64" s="17"/>
      <c r="AV64" s="17"/>
      <c r="AW64" s="17"/>
      <c r="AX64" s="17"/>
      <c r="AY64" s="17"/>
      <c r="AZ64" s="17"/>
      <c r="BA64" s="17"/>
      <c r="BB64" s="17"/>
      <c r="BC64" s="17"/>
      <c r="BD64" s="17"/>
      <c r="BE64" s="17"/>
      <c r="BF64" s="17"/>
      <c r="BG64" s="17"/>
      <c r="BH64" s="29"/>
      <c r="BI64" s="29"/>
    </row>
    <row r="65" spans="1:61" customFormat="1" ht="100" customHeight="1" x14ac:dyDescent="0.35">
      <c r="A65" s="21" t="str">
        <f t="shared" si="1"/>
        <v xml:space="preserve">63: Lodging / residential | Residence hall / dormitory | </v>
      </c>
      <c r="B65" s="24">
        <v>63</v>
      </c>
      <c r="C65" s="25" t="s">
        <v>423</v>
      </c>
      <c r="D65" s="25" t="s">
        <v>438</v>
      </c>
      <c r="E65" s="25"/>
      <c r="F65" s="24">
        <v>63</v>
      </c>
      <c r="G65" s="24">
        <v>64</v>
      </c>
      <c r="H65" s="26">
        <v>1</v>
      </c>
      <c r="I65" s="26">
        <v>1</v>
      </c>
      <c r="J65" s="26">
        <v>1</v>
      </c>
      <c r="K65" s="27" t="s">
        <v>439</v>
      </c>
      <c r="L65" s="27" t="s">
        <v>426</v>
      </c>
      <c r="M65" s="27" t="s">
        <v>403</v>
      </c>
      <c r="N65" s="16"/>
      <c r="O65" s="24"/>
      <c r="P65" s="24"/>
      <c r="Q65" s="24">
        <v>11</v>
      </c>
      <c r="R65" s="24">
        <v>10</v>
      </c>
      <c r="S65" s="16"/>
      <c r="T65" s="16"/>
      <c r="U65" s="24" t="s">
        <v>160</v>
      </c>
      <c r="V65" s="24"/>
      <c r="W65" s="24"/>
      <c r="X65" s="16"/>
      <c r="Y65" s="16"/>
      <c r="Z65" s="16"/>
      <c r="AA65" s="16"/>
      <c r="AB65" s="16"/>
      <c r="AC65" s="16"/>
      <c r="AD65" s="16"/>
      <c r="AE65" s="16"/>
      <c r="AF65" s="16"/>
      <c r="AG65" s="16"/>
      <c r="AH65" s="16"/>
      <c r="AI65" s="20" t="str">
        <f>IFERROR(IF(VLOOKUP('EUIt Sheet'!$C65,Lookups!$A$3:$V$116,21,FALSE)="","Regular",VLOOKUP('EUIt Sheet'!$C65,Lookups!$A$3:$V$116,21,FALSE)),"")</f>
        <v/>
      </c>
      <c r="AJ65" s="169" t="str">
        <f>IF(AL65&gt;=35000,IF(Lookups!AI65="Special Tier 2","Special Tier 2","Tier 1"),IF(AL65&gt;=20000,IF(Lookups!AI65="Special Tier 2","Not Covered","Regular Tier 2"),"Not Covered"))</f>
        <v>Not Covered</v>
      </c>
      <c r="AK65" s="24" t="str">
        <f>IF(OR('EUIt Sheet'!$G$2="Yes"),IF(IFERROR(VLOOKUP("Special Tier 2",$AJ$10:$AL$70,3,FALSE),0)&gt;0,IF(AJ65="Tier 1","Extended Tier 2",AJ65),AJ65),AJ65)</f>
        <v>Not Covered</v>
      </c>
      <c r="AL65" s="33">
        <f>'EUIt Sheet'!D65</f>
        <v>0</v>
      </c>
      <c r="AM65" s="16"/>
      <c r="AN65" s="16"/>
      <c r="AO65" s="16"/>
      <c r="AP65" s="16"/>
      <c r="AQ65" s="16"/>
      <c r="AR65" s="16"/>
      <c r="AS65" s="16"/>
      <c r="AT65" s="16"/>
      <c r="AU65" s="17"/>
      <c r="AV65" s="17"/>
      <c r="AW65" s="17"/>
      <c r="AX65" s="17"/>
      <c r="AY65" s="17"/>
      <c r="AZ65" s="17"/>
      <c r="BA65" s="17"/>
      <c r="BB65" s="17"/>
      <c r="BC65" s="17"/>
      <c r="BD65" s="17"/>
      <c r="BE65" s="17"/>
      <c r="BF65" s="17"/>
      <c r="BG65" s="17"/>
      <c r="BH65" s="29"/>
      <c r="BI65" s="29"/>
    </row>
    <row r="66" spans="1:61" customFormat="1" ht="100" customHeight="1" x14ac:dyDescent="0.35">
      <c r="A66" s="21" t="str">
        <f t="shared" si="1"/>
        <v xml:space="preserve">64: Lodging / residential | Residential care facility | </v>
      </c>
      <c r="B66" s="24">
        <v>64</v>
      </c>
      <c r="C66" s="25" t="s">
        <v>423</v>
      </c>
      <c r="D66" s="25" t="s">
        <v>412</v>
      </c>
      <c r="E66" s="25"/>
      <c r="F66" s="24">
        <v>79</v>
      </c>
      <c r="G66" s="24">
        <v>83</v>
      </c>
      <c r="H66" s="26">
        <v>1</v>
      </c>
      <c r="I66" s="26">
        <v>1</v>
      </c>
      <c r="J66" s="26">
        <v>1</v>
      </c>
      <c r="K66" s="27" t="s">
        <v>413</v>
      </c>
      <c r="L66" s="27" t="s">
        <v>414</v>
      </c>
      <c r="M66" s="27" t="s">
        <v>403</v>
      </c>
      <c r="N66" s="16"/>
      <c r="O66" s="24"/>
      <c r="P66" s="24"/>
      <c r="Q66" s="24">
        <v>11</v>
      </c>
      <c r="R66" s="24">
        <v>10</v>
      </c>
      <c r="S66" s="16"/>
      <c r="T66" s="16"/>
      <c r="U66" s="24" t="s">
        <v>160</v>
      </c>
      <c r="V66" s="24"/>
      <c r="W66" s="24"/>
      <c r="X66" s="16"/>
      <c r="Y66" s="16"/>
      <c r="Z66" s="16"/>
      <c r="AA66" s="16"/>
      <c r="AB66" s="16"/>
      <c r="AC66" s="16"/>
      <c r="AD66" s="16"/>
      <c r="AE66" s="16"/>
      <c r="AF66" s="16"/>
      <c r="AG66" s="16"/>
      <c r="AH66" s="16"/>
      <c r="AI66" s="20" t="str">
        <f>IFERROR(IF(VLOOKUP('EUIt Sheet'!$C66,Lookups!$A$3:$V$116,21,FALSE)="","Regular",VLOOKUP('EUIt Sheet'!$C66,Lookups!$A$3:$V$116,21,FALSE)),"")</f>
        <v/>
      </c>
      <c r="AJ66" s="169" t="str">
        <f>IF(AL66&gt;=35000,IF(Lookups!AI66="Special Tier 2","Special Tier 2","Tier 1"),IF(AL66&gt;=20000,IF(Lookups!AI66="Special Tier 2","Not Covered","Regular Tier 2"),"Not Covered"))</f>
        <v>Not Covered</v>
      </c>
      <c r="AK66" s="24" t="str">
        <f>IF(OR('EUIt Sheet'!$G$2="Yes"),IF(IFERROR(VLOOKUP("Special Tier 2",$AJ$10:$AL$70,3,FALSE),0)&gt;0,IF(AJ66="Tier 1","Extended Tier 2",AJ66),AJ66),AJ66)</f>
        <v>Not Covered</v>
      </c>
      <c r="AL66" s="33">
        <f>'EUIt Sheet'!D66</f>
        <v>0</v>
      </c>
      <c r="AM66" s="16"/>
      <c r="AN66" s="16"/>
      <c r="AO66" s="16"/>
      <c r="AP66" s="16"/>
      <c r="AQ66" s="16"/>
      <c r="AR66" s="16"/>
      <c r="AS66" s="16"/>
      <c r="AT66" s="16"/>
      <c r="AU66" s="17"/>
      <c r="AV66" s="17"/>
      <c r="AW66" s="17"/>
      <c r="AX66" s="17"/>
      <c r="AY66" s="17"/>
      <c r="AZ66" s="17"/>
      <c r="BA66" s="17"/>
      <c r="BB66" s="17"/>
      <c r="BC66" s="17"/>
      <c r="BD66" s="17"/>
      <c r="BE66" s="17"/>
      <c r="BF66" s="17"/>
      <c r="BG66" s="17"/>
      <c r="BH66" s="29"/>
      <c r="BI66" s="29"/>
    </row>
    <row r="67" spans="1:61" customFormat="1" ht="100" customHeight="1" x14ac:dyDescent="0.35">
      <c r="A67" s="21" t="str">
        <f t="shared" si="1"/>
        <v xml:space="preserve">65: Lodging / residential | Senior care community | </v>
      </c>
      <c r="B67" s="24">
        <v>65</v>
      </c>
      <c r="C67" s="25" t="s">
        <v>423</v>
      </c>
      <c r="D67" s="25" t="s">
        <v>415</v>
      </c>
      <c r="E67" s="25"/>
      <c r="F67" s="24">
        <v>79</v>
      </c>
      <c r="G67" s="24">
        <v>83</v>
      </c>
      <c r="H67" s="26">
        <v>1</v>
      </c>
      <c r="I67" s="26">
        <v>1</v>
      </c>
      <c r="J67" s="26">
        <v>1</v>
      </c>
      <c r="K67" s="27" t="s">
        <v>440</v>
      </c>
      <c r="L67" s="27" t="s">
        <v>414</v>
      </c>
      <c r="M67" s="27" t="s">
        <v>403</v>
      </c>
      <c r="N67" s="16"/>
      <c r="O67" s="24"/>
      <c r="P67" s="24"/>
      <c r="Q67" s="24">
        <v>11</v>
      </c>
      <c r="R67" s="24">
        <v>10</v>
      </c>
      <c r="S67" s="16"/>
      <c r="T67" s="16"/>
      <c r="U67" s="24" t="s">
        <v>160</v>
      </c>
      <c r="V67" s="24"/>
      <c r="W67" s="24"/>
      <c r="X67" s="16"/>
      <c r="Y67" s="16"/>
      <c r="Z67" s="16"/>
      <c r="AA67" s="16"/>
      <c r="AB67" s="16"/>
      <c r="AC67" s="16"/>
      <c r="AD67" s="16"/>
      <c r="AE67" s="16"/>
      <c r="AF67" s="16"/>
      <c r="AG67" s="16"/>
      <c r="AH67" s="16"/>
      <c r="AI67" s="20" t="str">
        <f>IFERROR(IF(VLOOKUP('EUIt Sheet'!$C67,Lookups!$A$3:$V$116,21,FALSE)="","Regular",VLOOKUP('EUIt Sheet'!$C67,Lookups!$A$3:$V$116,21,FALSE)),"")</f>
        <v/>
      </c>
      <c r="AJ67" s="169" t="str">
        <f>IF(AL67&gt;=35000,IF(Lookups!AI67="Special Tier 2","Special Tier 2","Tier 1"),IF(AL67&gt;=20000,IF(Lookups!AI67="Special Tier 2","Not Covered","Regular Tier 2"),"Not Covered"))</f>
        <v>Not Covered</v>
      </c>
      <c r="AK67" s="24" t="str">
        <f>IF(OR('EUIt Sheet'!$G$2="Yes"),IF(IFERROR(VLOOKUP("Special Tier 2",$AJ$10:$AL$70,3,FALSE),0)&gt;0,IF(AJ67="Tier 1","Extended Tier 2",AJ67),AJ67),AJ67)</f>
        <v>Not Covered</v>
      </c>
      <c r="AL67" s="33">
        <f>'EUIt Sheet'!D67</f>
        <v>0</v>
      </c>
      <c r="AM67" s="16"/>
      <c r="AN67" s="16"/>
      <c r="AO67" s="16"/>
      <c r="AP67" s="16"/>
      <c r="AQ67" s="16"/>
      <c r="AR67" s="16"/>
      <c r="AS67" s="16"/>
      <c r="AT67" s="16"/>
      <c r="AU67" s="17"/>
      <c r="AV67" s="17"/>
      <c r="AW67" s="17"/>
      <c r="AX67" s="17"/>
      <c r="AY67" s="17"/>
      <c r="AZ67" s="17"/>
      <c r="BA67" s="17"/>
      <c r="BB67" s="17"/>
      <c r="BC67" s="17"/>
      <c r="BD67" s="17"/>
      <c r="BE67" s="17"/>
      <c r="BF67" s="17"/>
      <c r="BG67" s="17"/>
      <c r="BH67" s="29"/>
      <c r="BI67" s="29"/>
    </row>
    <row r="68" spans="1:61" customFormat="1" ht="100" customHeight="1" x14ac:dyDescent="0.35">
      <c r="A68" s="21" t="str">
        <f t="shared" ref="A68:A116" si="3">B68&amp;": "&amp;C68&amp;" | "&amp;D68&amp;" | "&amp;E68</f>
        <v xml:space="preserve">66: Lodging / residential | Other - lodging / residential | </v>
      </c>
      <c r="B68" s="24">
        <v>66</v>
      </c>
      <c r="C68" s="25" t="s">
        <v>423</v>
      </c>
      <c r="D68" s="25" t="s">
        <v>441</v>
      </c>
      <c r="E68" s="25"/>
      <c r="F68" s="24">
        <v>78</v>
      </c>
      <c r="G68" s="24">
        <v>81</v>
      </c>
      <c r="H68" s="26">
        <v>1</v>
      </c>
      <c r="I68" s="26">
        <v>1</v>
      </c>
      <c r="J68" s="26">
        <v>1</v>
      </c>
      <c r="K68" s="27" t="s">
        <v>442</v>
      </c>
      <c r="L68" s="27" t="s">
        <v>443</v>
      </c>
      <c r="M68" s="27" t="s">
        <v>403</v>
      </c>
      <c r="N68" s="16"/>
      <c r="O68" s="24"/>
      <c r="P68" s="24"/>
      <c r="Q68" s="24">
        <v>11</v>
      </c>
      <c r="R68" s="24">
        <v>10</v>
      </c>
      <c r="S68" s="16"/>
      <c r="T68" s="16"/>
      <c r="U68" s="24" t="s">
        <v>160</v>
      </c>
      <c r="V68" s="24"/>
      <c r="W68" s="24"/>
      <c r="X68" s="16"/>
      <c r="Y68" s="16"/>
      <c r="Z68" s="16"/>
      <c r="AA68" s="16"/>
      <c r="AB68" s="16"/>
      <c r="AC68" s="16"/>
      <c r="AD68" s="16"/>
      <c r="AE68" s="16"/>
      <c r="AF68" s="16"/>
      <c r="AG68" s="16"/>
      <c r="AH68" s="16"/>
      <c r="AI68" s="20" t="str">
        <f>IFERROR(IF(VLOOKUP('EUIt Sheet'!$C68,Lookups!$A$3:$V$116,21,FALSE)="","Regular",VLOOKUP('EUIt Sheet'!$C68,Lookups!$A$3:$V$116,21,FALSE)),"")</f>
        <v/>
      </c>
      <c r="AJ68" s="169" t="str">
        <f>IF(AL68&gt;=35000,IF(Lookups!AI68="Special Tier 2","Special Tier 2","Tier 1"),IF(AL68&gt;=20000,IF(Lookups!AI68="Special Tier 2","Not Covered","Regular Tier 2"),"Not Covered"))</f>
        <v>Not Covered</v>
      </c>
      <c r="AK68" s="24" t="str">
        <f>IF(OR('EUIt Sheet'!$G$2="Yes"),IF(IFERROR(VLOOKUP("Special Tier 2",$AJ$10:$AL$70,3,FALSE),0)&gt;0,IF(AJ68="Tier 1","Extended Tier 2",AJ68),AJ68),AJ68)</f>
        <v>Not Covered</v>
      </c>
      <c r="AL68" s="33">
        <f>'EUIt Sheet'!D68</f>
        <v>0</v>
      </c>
      <c r="AM68" s="16"/>
      <c r="AN68" s="16"/>
      <c r="AO68" s="16"/>
      <c r="AP68" s="16"/>
      <c r="AQ68" s="16"/>
      <c r="AR68" s="16"/>
      <c r="AS68" s="16"/>
      <c r="AT68" s="16"/>
      <c r="AU68" s="17"/>
      <c r="AV68" s="17"/>
      <c r="AW68" s="17"/>
      <c r="AX68" s="17"/>
      <c r="AY68" s="17"/>
      <c r="AZ68" s="17"/>
      <c r="BA68" s="17"/>
      <c r="BB68" s="17"/>
      <c r="BC68" s="17"/>
      <c r="BD68" s="17"/>
      <c r="BE68" s="17"/>
      <c r="BF68" s="17"/>
      <c r="BG68" s="17"/>
      <c r="BH68" s="29"/>
      <c r="BI68" s="29"/>
    </row>
    <row r="69" spans="1:61" customFormat="1" ht="100" customHeight="1" x14ac:dyDescent="0.35">
      <c r="A69" s="21" t="str">
        <f t="shared" si="3"/>
        <v>67: Mixed-use | Mixed-use property | INPUT INDIVIDUAL SPACE TYPES</v>
      </c>
      <c r="B69" s="24">
        <v>67</v>
      </c>
      <c r="C69" s="25" t="s">
        <v>444</v>
      </c>
      <c r="D69" s="25" t="s">
        <v>445</v>
      </c>
      <c r="E69" s="25" t="s">
        <v>446</v>
      </c>
      <c r="F69" s="24"/>
      <c r="G69" s="24"/>
      <c r="H69" s="26"/>
      <c r="I69" s="26"/>
      <c r="J69" s="26"/>
      <c r="K69" s="27" t="s">
        <v>447</v>
      </c>
      <c r="L69" s="27"/>
      <c r="M69" s="27" t="str">
        <f>IFERROR(VLOOKUP($O69,Lookups!$AA$3:$AB$14,2,FALSE),"")&amp;" "&amp;IFERROR(VLOOKUP($P69,Lookups!$AA$3:$AB$14,2,FALSE),"")</f>
        <v xml:space="preserve">Must use Section 7.2.3 method for mixed-use buildings. </v>
      </c>
      <c r="N69" s="16"/>
      <c r="O69" s="24">
        <v>6</v>
      </c>
      <c r="P69" s="24"/>
      <c r="Q69" s="24"/>
      <c r="R69" s="24">
        <v>4</v>
      </c>
      <c r="S69" s="24"/>
      <c r="T69" s="16"/>
      <c r="U69" s="24"/>
      <c r="V69" s="24"/>
      <c r="W69" s="24" t="s">
        <v>162</v>
      </c>
      <c r="X69" s="16"/>
      <c r="Y69" s="16"/>
      <c r="Z69" s="16"/>
      <c r="AA69" s="16"/>
      <c r="AB69" s="16"/>
      <c r="AC69" s="16"/>
      <c r="AD69" s="16"/>
      <c r="AE69" s="16"/>
      <c r="AF69" s="16"/>
      <c r="AG69" s="16"/>
      <c r="AH69" s="16"/>
      <c r="AI69" s="20" t="str">
        <f>IFERROR(IF(VLOOKUP('EUIt Sheet'!$C69,Lookups!$A$3:$V$116,21,FALSE)="","Regular",VLOOKUP('EUIt Sheet'!$C69,Lookups!$A$3:$V$116,21,FALSE)),"")</f>
        <v/>
      </c>
      <c r="AJ69" s="169" t="str">
        <f>IF(AL69&gt;=35000,IF(Lookups!AI69="Special Tier 2","Special Tier 2","Tier 1"),IF(AL69&gt;=20000,IF(Lookups!AI69="Special Tier 2","Not Covered","Regular Tier 2"),"Not Covered"))</f>
        <v>Not Covered</v>
      </c>
      <c r="AK69" s="24" t="str">
        <f>IF(OR('EUIt Sheet'!$G$2="Yes"),IF(IFERROR(VLOOKUP("Special Tier 2",$AJ$10:$AL$70,3,FALSE),0)&gt;0,IF(AJ69="Tier 1","Extended Tier 2",AJ69),AJ69),AJ69)</f>
        <v>Not Covered</v>
      </c>
      <c r="AL69" s="33">
        <f>'EUIt Sheet'!D69</f>
        <v>0</v>
      </c>
      <c r="AM69" s="16"/>
      <c r="AN69" s="16"/>
      <c r="AO69" s="16"/>
      <c r="AP69" s="16"/>
      <c r="AQ69" s="16"/>
      <c r="AR69" s="16"/>
      <c r="AS69" s="16"/>
      <c r="AT69" s="16"/>
      <c r="AU69" s="17"/>
      <c r="AV69" s="17"/>
      <c r="AW69" s="17"/>
      <c r="AX69" s="17"/>
      <c r="AY69" s="17"/>
      <c r="AZ69" s="17"/>
      <c r="BA69" s="17"/>
      <c r="BB69" s="17"/>
      <c r="BC69" s="17"/>
      <c r="BD69" s="17"/>
      <c r="BE69" s="17"/>
      <c r="BF69" s="17"/>
      <c r="BG69" s="17"/>
      <c r="BH69" s="29"/>
      <c r="BI69" s="29"/>
    </row>
    <row r="70" spans="1:61" customFormat="1" ht="100" customHeight="1" x14ac:dyDescent="0.35">
      <c r="A70" s="21" t="str">
        <f t="shared" si="3"/>
        <v xml:space="preserve">68: Office | Medical office | </v>
      </c>
      <c r="B70" s="24">
        <v>68</v>
      </c>
      <c r="C70" s="25" t="s">
        <v>448</v>
      </c>
      <c r="D70" s="25" t="s">
        <v>405</v>
      </c>
      <c r="E70" s="25"/>
      <c r="F70" s="24">
        <v>77</v>
      </c>
      <c r="G70" s="24">
        <v>83</v>
      </c>
      <c r="H70" s="26">
        <v>0.8</v>
      </c>
      <c r="I70" s="26">
        <v>1.1000000000000001</v>
      </c>
      <c r="J70" s="26">
        <v>1.3</v>
      </c>
      <c r="K70" s="27" t="s">
        <v>406</v>
      </c>
      <c r="L70" s="27" t="s">
        <v>449</v>
      </c>
      <c r="M70" s="27" t="str">
        <f>IFERROR(VLOOKUP($O70,Lookups!$AA$3:$AB$14,2,FALSE),"")&amp;" "&amp;IFERROR(VLOOKUP($P70,Lookups!$AA$3:$AB$14,2,FALSE),"")</f>
        <v xml:space="preserve">The weekly hours are the hours that the majority of the building is open to serve the public. Health care buildings may use other weekly hours if they are required to operate building systems additional hours to protect patient and staff safety. Provide documentation of the requirement in the energy management plan. </v>
      </c>
      <c r="N70" s="25" t="s">
        <v>408</v>
      </c>
      <c r="O70" s="24">
        <v>4</v>
      </c>
      <c r="P70" s="24">
        <v>7</v>
      </c>
      <c r="Q70" s="24"/>
      <c r="R70" s="24">
        <v>3</v>
      </c>
      <c r="S70" s="24"/>
      <c r="T70" s="16"/>
      <c r="U70" s="24"/>
      <c r="V70" s="24"/>
      <c r="W70" s="24"/>
      <c r="X70" s="16"/>
      <c r="Y70" s="16"/>
      <c r="Z70" s="16"/>
      <c r="AA70" s="16"/>
      <c r="AB70" s="16"/>
      <c r="AC70" s="16"/>
      <c r="AD70" s="16"/>
      <c r="AE70" s="16"/>
      <c r="AF70" s="16"/>
      <c r="AG70" s="16"/>
      <c r="AH70" s="16"/>
      <c r="AI70" s="20" t="str">
        <f>IFERROR(IF(VLOOKUP('EUIt Sheet'!$C70,Lookups!$A$3:$V$116,21,FALSE)="","Regular",VLOOKUP('EUIt Sheet'!$C70,Lookups!$A$3:$V$116,21,FALSE)),"")</f>
        <v/>
      </c>
      <c r="AJ70" s="169" t="str">
        <f>IF(AL70&gt;=35000,IF(Lookups!AI70="Special Tier 2","Special Tier 2","Tier 1"),IF(AL70&gt;=20000,IF(Lookups!AI70="Special Tier 2","Not Covered","Regular Tier 2"),"Not Covered"))</f>
        <v>Not Covered</v>
      </c>
      <c r="AK70" s="24" t="str">
        <f>IF(OR('EUIt Sheet'!$G$2="Yes"),IF(IFERROR(VLOOKUP("Special Tier 2",$AJ$10:$AL$70,3,FALSE),0)&gt;0,IF(AJ70="Tier 1","Extended Tier 2",AJ70),AJ70),AJ70)</f>
        <v>Not Covered</v>
      </c>
      <c r="AL70" s="33">
        <f>'EUIt Sheet'!D70</f>
        <v>0</v>
      </c>
      <c r="AM70" s="16"/>
      <c r="AN70" s="16"/>
      <c r="AO70" s="16"/>
      <c r="AP70" s="16"/>
      <c r="AQ70" s="16"/>
      <c r="AR70" s="16"/>
      <c r="AS70" s="16"/>
      <c r="AT70" s="16"/>
      <c r="AU70" s="17"/>
      <c r="AV70" s="17"/>
      <c r="AW70" s="17"/>
      <c r="AX70" s="17"/>
      <c r="AY70" s="17"/>
      <c r="AZ70" s="17"/>
      <c r="BA70" s="17"/>
      <c r="BB70" s="17"/>
      <c r="BC70" s="17"/>
      <c r="BD70" s="17"/>
      <c r="BE70" s="17"/>
      <c r="BF70" s="17"/>
      <c r="BG70" s="17"/>
      <c r="BH70" s="29"/>
      <c r="BI70" s="29"/>
    </row>
    <row r="71" spans="1:61" customFormat="1" ht="100" customHeight="1" x14ac:dyDescent="0.35">
      <c r="A71" s="21" t="str">
        <f t="shared" si="3"/>
        <v>69: Office | Office | Admin / professional office</v>
      </c>
      <c r="B71" s="24">
        <v>69</v>
      </c>
      <c r="C71" s="25" t="s">
        <v>448</v>
      </c>
      <c r="D71" s="25" t="s">
        <v>448</v>
      </c>
      <c r="E71" s="25" t="s">
        <v>450</v>
      </c>
      <c r="F71" s="24">
        <v>50</v>
      </c>
      <c r="G71" s="24">
        <v>52</v>
      </c>
      <c r="H71" s="26">
        <v>0.8</v>
      </c>
      <c r="I71" s="26">
        <v>1</v>
      </c>
      <c r="J71" s="26">
        <v>1.5</v>
      </c>
      <c r="K71" s="27" t="s">
        <v>451</v>
      </c>
      <c r="L71" s="27" t="s">
        <v>452</v>
      </c>
      <c r="M71" s="27" t="str">
        <f>IFERROR(VLOOKUP($O71,Lookups!$AA$3:$AB$14,2,FALSE),"")&amp;" "&amp;IFERROR(VLOOKUP($P71,Lookups!$AA$3:$AB$14,2,FALSE),"")</f>
        <v xml:space="preserve">The weekly hours are the total number of hours per week where the majority of workers are present. If there are two or more shifts of workers, add the hours.  </v>
      </c>
      <c r="N71" s="16"/>
      <c r="O71" s="24">
        <v>3</v>
      </c>
      <c r="P71" s="24"/>
      <c r="Q71" s="24"/>
      <c r="R71" s="24"/>
      <c r="S71" s="24"/>
      <c r="T71" s="16"/>
      <c r="U71" s="24"/>
      <c r="V71" s="24"/>
      <c r="W71" s="24"/>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7"/>
      <c r="AV71" s="17"/>
      <c r="AW71" s="17"/>
      <c r="AX71" s="17"/>
      <c r="AY71" s="17"/>
      <c r="AZ71" s="17"/>
      <c r="BA71" s="17"/>
      <c r="BB71" s="17"/>
      <c r="BC71" s="17"/>
      <c r="BD71" s="17"/>
      <c r="BE71" s="17"/>
      <c r="BF71" s="17"/>
      <c r="BG71" s="17"/>
      <c r="BH71" s="29"/>
      <c r="BI71" s="29"/>
    </row>
    <row r="72" spans="1:61" customFormat="1" ht="100" customHeight="1" x14ac:dyDescent="0.35">
      <c r="A72" s="21" t="str">
        <f t="shared" si="3"/>
        <v>70: Office | Office | Bank / other financial</v>
      </c>
      <c r="B72" s="24">
        <v>70</v>
      </c>
      <c r="C72" s="25" t="s">
        <v>448</v>
      </c>
      <c r="D72" s="25" t="s">
        <v>448</v>
      </c>
      <c r="E72" s="25" t="s">
        <v>453</v>
      </c>
      <c r="F72" s="24">
        <v>53</v>
      </c>
      <c r="G72" s="24">
        <v>55</v>
      </c>
      <c r="H72" s="26">
        <v>0.8</v>
      </c>
      <c r="I72" s="26">
        <v>1</v>
      </c>
      <c r="J72" s="26">
        <v>1.5</v>
      </c>
      <c r="K72" s="27" t="s">
        <v>454</v>
      </c>
      <c r="L72" s="27" t="s">
        <v>455</v>
      </c>
      <c r="M72" s="27" t="str">
        <f>IFERROR(VLOOKUP($O72,Lookups!$AA$3:$AB$14,2,FALSE),"")&amp;" "&amp;IFERROR(VLOOKUP($P72,Lookups!$AA$3:$AB$14,2,FALSE),"")</f>
        <v xml:space="preserve">The weekly hours are the total number of hours per week where the majority of workers are present. If there are two or more shifts of workers, add the hours.  </v>
      </c>
      <c r="N72" s="16"/>
      <c r="O72" s="24">
        <v>3</v>
      </c>
      <c r="P72" s="24"/>
      <c r="Q72" s="24"/>
      <c r="R72" s="24"/>
      <c r="S72" s="24"/>
      <c r="T72" s="16"/>
      <c r="U72" s="24"/>
      <c r="V72" s="24"/>
      <c r="W72" s="24"/>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7"/>
      <c r="AV72" s="17"/>
      <c r="AW72" s="17"/>
      <c r="AX72" s="17"/>
      <c r="AY72" s="17"/>
      <c r="AZ72" s="17"/>
      <c r="BA72" s="17"/>
      <c r="BB72" s="17"/>
      <c r="BC72" s="17"/>
      <c r="BD72" s="17"/>
      <c r="BE72" s="17"/>
      <c r="BF72" s="17"/>
      <c r="BG72" s="17"/>
      <c r="BH72" s="29"/>
      <c r="BI72" s="29"/>
    </row>
    <row r="73" spans="1:61" customFormat="1" ht="100" customHeight="1" x14ac:dyDescent="0.35">
      <c r="A73" s="21" t="str">
        <f t="shared" si="3"/>
        <v>71: Office | Office | Government office</v>
      </c>
      <c r="B73" s="24">
        <v>71</v>
      </c>
      <c r="C73" s="25" t="s">
        <v>448</v>
      </c>
      <c r="D73" s="25" t="s">
        <v>448</v>
      </c>
      <c r="E73" s="25" t="s">
        <v>456</v>
      </c>
      <c r="F73" s="24">
        <v>57</v>
      </c>
      <c r="G73" s="24">
        <v>59</v>
      </c>
      <c r="H73" s="26">
        <v>0.8</v>
      </c>
      <c r="I73" s="26">
        <v>1</v>
      </c>
      <c r="J73" s="26">
        <v>1.5</v>
      </c>
      <c r="K73" s="27" t="s">
        <v>457</v>
      </c>
      <c r="L73" s="27" t="s">
        <v>452</v>
      </c>
      <c r="M73" s="27" t="str">
        <f>IFERROR(VLOOKUP($O73,Lookups!$AA$3:$AB$14,2,FALSE),"")&amp;" "&amp;IFERROR(VLOOKUP($P73,Lookups!$AA$3:$AB$14,2,FALSE),"")</f>
        <v xml:space="preserve">The weekly hours are the total number of hours per week where the majority of workers are present. If there are two or more shifts of workers, add the hours.  </v>
      </c>
      <c r="N73" s="16"/>
      <c r="O73" s="24">
        <v>3</v>
      </c>
      <c r="P73" s="24"/>
      <c r="Q73" s="24"/>
      <c r="R73" s="24"/>
      <c r="S73" s="24"/>
      <c r="T73" s="16"/>
      <c r="U73" s="24"/>
      <c r="V73" s="24"/>
      <c r="W73" s="24"/>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7"/>
      <c r="AV73" s="17"/>
      <c r="AW73" s="17"/>
      <c r="AX73" s="17"/>
      <c r="AY73" s="17"/>
      <c r="AZ73" s="17"/>
      <c r="BA73" s="17"/>
      <c r="BB73" s="17"/>
      <c r="BC73" s="17"/>
      <c r="BD73" s="17"/>
      <c r="BE73" s="17"/>
      <c r="BF73" s="17"/>
      <c r="BG73" s="17"/>
      <c r="BH73" s="29"/>
      <c r="BI73" s="29"/>
    </row>
    <row r="74" spans="1:61" customFormat="1" ht="100" customHeight="1" x14ac:dyDescent="0.35">
      <c r="A74" s="21" t="str">
        <f t="shared" si="3"/>
        <v>72: Office | Office | Medical office (diagnostic)</v>
      </c>
      <c r="B74" s="24">
        <v>72</v>
      </c>
      <c r="C74" s="25" t="s">
        <v>448</v>
      </c>
      <c r="D74" s="25" t="s">
        <v>448</v>
      </c>
      <c r="E74" s="25" t="s">
        <v>458</v>
      </c>
      <c r="F74" s="24">
        <v>77</v>
      </c>
      <c r="G74" s="24">
        <v>83</v>
      </c>
      <c r="H74" s="26">
        <v>0.8</v>
      </c>
      <c r="I74" s="26">
        <v>1.1000000000000001</v>
      </c>
      <c r="J74" s="26">
        <v>1.3</v>
      </c>
      <c r="K74" s="27" t="s">
        <v>406</v>
      </c>
      <c r="L74" s="27" t="s">
        <v>459</v>
      </c>
      <c r="M74" s="27" t="str">
        <f>IFERROR(VLOOKUP($O74,Lookups!$AA$3:$AB$14,2,FALSE),"")&amp;" "&amp;IFERROR(VLOOKUP($P74,Lookups!$AA$3:$AB$14,2,FALSE),"")</f>
        <v xml:space="preserve">The weekly hours are the hours that the majority of the building is open to serve the public. </v>
      </c>
      <c r="N74" s="16"/>
      <c r="O74" s="24">
        <v>4</v>
      </c>
      <c r="P74" s="24"/>
      <c r="Q74" s="24"/>
      <c r="R74" s="24">
        <v>3</v>
      </c>
      <c r="S74" s="24"/>
      <c r="T74" s="16"/>
      <c r="U74" s="24"/>
      <c r="V74" s="24"/>
      <c r="W74" s="24"/>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7"/>
      <c r="AV74" s="17"/>
      <c r="AW74" s="17"/>
      <c r="AX74" s="17"/>
      <c r="AY74" s="17"/>
      <c r="AZ74" s="17"/>
      <c r="BA74" s="17"/>
      <c r="BB74" s="17"/>
      <c r="BC74" s="17"/>
      <c r="BD74" s="17"/>
      <c r="BE74" s="17"/>
      <c r="BF74" s="17"/>
      <c r="BG74" s="17"/>
      <c r="BH74" s="29"/>
      <c r="BI74" s="29"/>
    </row>
    <row r="75" spans="1:61" customFormat="1" ht="100" customHeight="1" x14ac:dyDescent="0.35">
      <c r="A75" s="21" t="str">
        <f t="shared" si="3"/>
        <v>73: Office | Office | Other office</v>
      </c>
      <c r="B75" s="24">
        <v>73</v>
      </c>
      <c r="C75" s="25" t="s">
        <v>448</v>
      </c>
      <c r="D75" s="25" t="s">
        <v>448</v>
      </c>
      <c r="E75" s="25" t="s">
        <v>460</v>
      </c>
      <c r="F75" s="24">
        <v>57</v>
      </c>
      <c r="G75" s="24">
        <v>59</v>
      </c>
      <c r="H75" s="26">
        <v>0.8</v>
      </c>
      <c r="I75" s="26">
        <v>1</v>
      </c>
      <c r="J75" s="26">
        <v>1.5</v>
      </c>
      <c r="K75" s="27" t="s">
        <v>461</v>
      </c>
      <c r="L75" s="27" t="s">
        <v>452</v>
      </c>
      <c r="M75" s="27" t="str">
        <f>IFERROR(VLOOKUP($O75,Lookups!$AA$3:$AB$14,2,FALSE),"")&amp;" "&amp;IFERROR(VLOOKUP($P75,Lookups!$AA$3:$AB$14,2,FALSE),"")</f>
        <v xml:space="preserve">The weekly hours are the total number of hours per week where the majority of workers are present. If there are two or more shifts of workers, add the hours.  </v>
      </c>
      <c r="N75" s="16"/>
      <c r="O75" s="24">
        <v>3</v>
      </c>
      <c r="P75" s="24"/>
      <c r="Q75" s="24"/>
      <c r="R75" s="24"/>
      <c r="S75" s="24"/>
      <c r="T75" s="16"/>
      <c r="U75" s="24"/>
      <c r="V75" s="24"/>
      <c r="W75" s="24"/>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7"/>
      <c r="AV75" s="17"/>
      <c r="AW75" s="17"/>
      <c r="AX75" s="17"/>
      <c r="AY75" s="17"/>
      <c r="AZ75" s="17"/>
      <c r="BA75" s="17"/>
      <c r="BB75" s="17"/>
      <c r="BC75" s="17"/>
      <c r="BD75" s="17"/>
      <c r="BE75" s="17"/>
      <c r="BF75" s="17"/>
      <c r="BG75" s="17"/>
      <c r="BH75" s="29"/>
      <c r="BI75" s="29"/>
    </row>
    <row r="76" spans="1:61" customFormat="1" ht="100" customHeight="1" x14ac:dyDescent="0.35">
      <c r="A76" s="21" t="str">
        <f t="shared" si="3"/>
        <v xml:space="preserve">74: Office | Veterinary office | </v>
      </c>
      <c r="B76" s="24">
        <v>74</v>
      </c>
      <c r="C76" s="25" t="s">
        <v>448</v>
      </c>
      <c r="D76" s="25" t="s">
        <v>462</v>
      </c>
      <c r="E76" s="25"/>
      <c r="F76" s="24">
        <v>92</v>
      </c>
      <c r="G76" s="24">
        <v>99</v>
      </c>
      <c r="H76" s="26">
        <v>0.8</v>
      </c>
      <c r="I76" s="26">
        <v>1.1000000000000001</v>
      </c>
      <c r="J76" s="26">
        <v>1.3</v>
      </c>
      <c r="K76" s="27" t="s">
        <v>463</v>
      </c>
      <c r="L76" s="27" t="s">
        <v>419</v>
      </c>
      <c r="M76" s="27" t="str">
        <f>IFERROR(VLOOKUP($O76,Lookups!$AA$3:$AB$14,2,FALSE),"")&amp;" "&amp;IFERROR(VLOOKUP($P76,Lookups!$AA$3:$AB$14,2,FALSE),"")</f>
        <v xml:space="preserve">The weekly hours are the total number of hours per week where the majority of workers are present. If there are two or more shifts of workers, add the hours.  </v>
      </c>
      <c r="N76" s="16"/>
      <c r="O76" s="24">
        <v>3</v>
      </c>
      <c r="P76" s="24"/>
      <c r="Q76" s="24"/>
      <c r="R76" s="24"/>
      <c r="S76" s="24"/>
      <c r="T76" s="16"/>
      <c r="U76" s="24"/>
      <c r="V76" s="24"/>
      <c r="W76" s="24"/>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7"/>
      <c r="AV76" s="17"/>
      <c r="AW76" s="17"/>
      <c r="AX76" s="17"/>
      <c r="AY76" s="17"/>
      <c r="AZ76" s="17"/>
      <c r="BA76" s="17"/>
      <c r="BB76" s="17"/>
      <c r="BC76" s="17"/>
      <c r="BD76" s="17"/>
      <c r="BE76" s="17"/>
      <c r="BF76" s="17"/>
      <c r="BG76" s="17"/>
      <c r="BH76" s="29"/>
      <c r="BI76" s="29"/>
    </row>
    <row r="77" spans="1:61" customFormat="1" ht="100" customHeight="1" x14ac:dyDescent="0.35">
      <c r="A77" s="21" t="str">
        <f t="shared" si="3"/>
        <v xml:space="preserve">75: Office | Other - office | </v>
      </c>
      <c r="B77" s="24">
        <v>75</v>
      </c>
      <c r="C77" s="25" t="s">
        <v>448</v>
      </c>
      <c r="D77" s="25" t="s">
        <v>464</v>
      </c>
      <c r="E77" s="25"/>
      <c r="F77" s="24">
        <v>57</v>
      </c>
      <c r="G77" s="24">
        <v>59</v>
      </c>
      <c r="H77" s="26">
        <v>0.8</v>
      </c>
      <c r="I77" s="26">
        <v>1</v>
      </c>
      <c r="J77" s="26">
        <v>1.5</v>
      </c>
      <c r="K77" s="27" t="s">
        <v>461</v>
      </c>
      <c r="L77" s="27" t="s">
        <v>452</v>
      </c>
      <c r="M77" s="27" t="str">
        <f>IFERROR(VLOOKUP($O77,Lookups!$AA$3:$AB$14,2,FALSE),"")&amp;" "&amp;IFERROR(VLOOKUP($P77,Lookups!$AA$3:$AB$14,2,FALSE),"")</f>
        <v xml:space="preserve">The weekly hours are the total number of hours per week where the majority of workers are present. If there are two or more shifts of workers, add the hours.  </v>
      </c>
      <c r="N77" s="16"/>
      <c r="O77" s="24">
        <v>3</v>
      </c>
      <c r="P77" s="24"/>
      <c r="Q77" s="24"/>
      <c r="R77" s="24"/>
      <c r="S77" s="24"/>
      <c r="T77" s="16"/>
      <c r="U77" s="24"/>
      <c r="V77" s="24"/>
      <c r="W77" s="24"/>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7"/>
      <c r="AV77" s="17"/>
      <c r="AW77" s="17"/>
      <c r="AX77" s="17"/>
      <c r="AY77" s="17"/>
      <c r="AZ77" s="17"/>
      <c r="BA77" s="17"/>
      <c r="BB77" s="17"/>
      <c r="BC77" s="17"/>
      <c r="BD77" s="17"/>
      <c r="BE77" s="17"/>
      <c r="BF77" s="17"/>
      <c r="BG77" s="17"/>
      <c r="BH77" s="29"/>
      <c r="BI77" s="29"/>
    </row>
    <row r="78" spans="1:61" customFormat="1" ht="100" customHeight="1" x14ac:dyDescent="0.35">
      <c r="A78" s="21" t="str">
        <f t="shared" si="3"/>
        <v xml:space="preserve">76: Public services | Courthouse | </v>
      </c>
      <c r="B78" s="24">
        <v>76</v>
      </c>
      <c r="C78" s="25" t="s">
        <v>465</v>
      </c>
      <c r="D78" s="25" t="s">
        <v>466</v>
      </c>
      <c r="E78" s="25"/>
      <c r="F78" s="24">
        <v>100</v>
      </c>
      <c r="G78" s="24">
        <v>105</v>
      </c>
      <c r="H78" s="26">
        <v>0.8</v>
      </c>
      <c r="I78" s="26">
        <v>0.8</v>
      </c>
      <c r="J78" s="26">
        <v>1.1000000000000001</v>
      </c>
      <c r="K78" s="27" t="s">
        <v>467</v>
      </c>
      <c r="L78" s="27" t="s">
        <v>468</v>
      </c>
      <c r="M78" s="27" t="str">
        <f>IFERROR(VLOOKUP($O78,Lookups!$AA$3:$AB$14,2,FALSE),"")&amp;" "&amp;IFERROR(VLOOKUP($P78,Lookups!$AA$3:$AB$14,2,FALSE),"")</f>
        <v xml:space="preserve">The weekly hours are the hours that the majority of the building is open to serve the public. </v>
      </c>
      <c r="N78" s="16"/>
      <c r="O78" s="24">
        <v>4</v>
      </c>
      <c r="P78" s="24"/>
      <c r="Q78" s="24"/>
      <c r="R78" s="24"/>
      <c r="S78" s="24"/>
      <c r="T78" s="16"/>
      <c r="U78" s="24"/>
      <c r="V78" s="24"/>
      <c r="W78" s="24"/>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7"/>
      <c r="AV78" s="17"/>
      <c r="AW78" s="17"/>
      <c r="AX78" s="17"/>
      <c r="AY78" s="17"/>
      <c r="AZ78" s="17"/>
      <c r="BA78" s="17"/>
      <c r="BB78" s="17"/>
      <c r="BC78" s="17"/>
      <c r="BD78" s="17"/>
      <c r="BE78" s="17"/>
      <c r="BF78" s="17"/>
      <c r="BG78" s="17"/>
      <c r="BH78" s="29"/>
      <c r="BI78" s="29"/>
    </row>
    <row r="79" spans="1:61" customFormat="1" ht="100" customHeight="1" x14ac:dyDescent="0.35">
      <c r="A79" s="21" t="str">
        <f t="shared" si="3"/>
        <v xml:space="preserve">77: Public services | Fire station | </v>
      </c>
      <c r="B79" s="24">
        <v>77</v>
      </c>
      <c r="C79" s="25" t="s">
        <v>465</v>
      </c>
      <c r="D79" s="25" t="s">
        <v>469</v>
      </c>
      <c r="E79" s="25"/>
      <c r="F79" s="24">
        <v>64</v>
      </c>
      <c r="G79" s="24">
        <v>67</v>
      </c>
      <c r="H79" s="26">
        <v>0.8</v>
      </c>
      <c r="I79" s="26">
        <v>0.8</v>
      </c>
      <c r="J79" s="26">
        <v>1.1000000000000001</v>
      </c>
      <c r="K79" s="27" t="s">
        <v>470</v>
      </c>
      <c r="L79" s="27" t="s">
        <v>471</v>
      </c>
      <c r="M79" s="27" t="str">
        <f>IFERROR(VLOOKUP($O79,Lookups!$AA$3:$AB$14,2,FALSE),"")&amp;" "&amp;IFERROR(VLOOKUP($P79,Lookups!$AA$3:$AB$14,2,FALSE),"")</f>
        <v xml:space="preserve">The weekly hours are the total number of hours per week where the majority of workers are present. If there are two or more shifts of workers, add the hours.  </v>
      </c>
      <c r="N79" s="16"/>
      <c r="O79" s="24">
        <v>3</v>
      </c>
      <c r="P79" s="24"/>
      <c r="Q79" s="24"/>
      <c r="R79" s="24"/>
      <c r="S79" s="24"/>
      <c r="T79" s="16"/>
      <c r="U79" s="24"/>
      <c r="V79" s="24"/>
      <c r="W79" s="24"/>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7"/>
      <c r="AV79" s="17"/>
      <c r="AW79" s="17"/>
      <c r="AX79" s="17"/>
      <c r="AY79" s="17"/>
      <c r="AZ79" s="17"/>
      <c r="BA79" s="17"/>
      <c r="BB79" s="17"/>
      <c r="BC79" s="17"/>
      <c r="BD79" s="17"/>
      <c r="BE79" s="17"/>
      <c r="BF79" s="17"/>
      <c r="BG79" s="17"/>
      <c r="BH79" s="29"/>
      <c r="BI79" s="29"/>
    </row>
    <row r="80" spans="1:61" customFormat="1" ht="100" customHeight="1" x14ac:dyDescent="0.35">
      <c r="A80" s="21" t="str">
        <f t="shared" si="3"/>
        <v xml:space="preserve">78: Public services | Library | </v>
      </c>
      <c r="B80" s="24">
        <v>78</v>
      </c>
      <c r="C80" s="25" t="s">
        <v>465</v>
      </c>
      <c r="D80" s="25" t="s">
        <v>336</v>
      </c>
      <c r="E80" s="25"/>
      <c r="F80" s="24">
        <v>38</v>
      </c>
      <c r="G80" s="24">
        <v>40</v>
      </c>
      <c r="H80" s="26">
        <v>0.6</v>
      </c>
      <c r="I80" s="26">
        <v>1.1000000000000001</v>
      </c>
      <c r="J80" s="26">
        <v>1.6</v>
      </c>
      <c r="K80" s="27" t="s">
        <v>337</v>
      </c>
      <c r="L80" s="27" t="s">
        <v>338</v>
      </c>
      <c r="M80" s="27" t="str">
        <f>IFERROR(VLOOKUP($O80,Lookups!$AA$3:$AB$14,2,FALSE),"")&amp;" "&amp;IFERROR(VLOOKUP($P80,Lookups!$AA$3:$AB$14,2,FALSE),"")</f>
        <v xml:space="preserve">The weekly hours are the hours that the majority of the building is open to serve the public. </v>
      </c>
      <c r="N80" s="16"/>
      <c r="O80" s="24">
        <v>4</v>
      </c>
      <c r="P80" s="24"/>
      <c r="Q80" s="24"/>
      <c r="R80" s="24"/>
      <c r="S80" s="24"/>
      <c r="T80" s="16"/>
      <c r="U80" s="24"/>
      <c r="V80" s="24"/>
      <c r="W80" s="24"/>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7"/>
      <c r="AV80" s="17"/>
      <c r="AW80" s="17"/>
      <c r="AX80" s="17"/>
      <c r="AY80" s="17"/>
      <c r="AZ80" s="17"/>
      <c r="BA80" s="17"/>
      <c r="BB80" s="17"/>
      <c r="BC80" s="17"/>
      <c r="BD80" s="17"/>
      <c r="BE80" s="17"/>
      <c r="BF80" s="17"/>
      <c r="BG80" s="17"/>
      <c r="BH80" s="29"/>
      <c r="BI80" s="29"/>
    </row>
    <row r="81" spans="1:61" customFormat="1" ht="100" customHeight="1" x14ac:dyDescent="0.35">
      <c r="A81" s="21" t="str">
        <f t="shared" si="3"/>
        <v xml:space="preserve">79: Public services | Mailing center / post office | </v>
      </c>
      <c r="B81" s="24">
        <v>79</v>
      </c>
      <c r="C81" s="25" t="s">
        <v>465</v>
      </c>
      <c r="D81" s="25" t="s">
        <v>472</v>
      </c>
      <c r="E81" s="25"/>
      <c r="F81" s="24">
        <v>80</v>
      </c>
      <c r="G81" s="24">
        <v>83</v>
      </c>
      <c r="H81" s="26">
        <v>0.8</v>
      </c>
      <c r="I81" s="26">
        <v>1.2</v>
      </c>
      <c r="J81" s="26">
        <v>1.3</v>
      </c>
      <c r="K81" s="27" t="s">
        <v>473</v>
      </c>
      <c r="L81" s="27" t="s">
        <v>474</v>
      </c>
      <c r="M81" s="27" t="str">
        <f>IFERROR(VLOOKUP($O81,Lookups!$AA$3:$AB$14,2,FALSE),"")&amp;" "&amp;IFERROR(VLOOKUP($P81,Lookups!$AA$3:$AB$14,2,FALSE),"")</f>
        <v xml:space="preserve">The weekly hours are the total number of hours per week where the majority of workers are present. If there are two or more shifts of workers, add the hours.  </v>
      </c>
      <c r="N81" s="16"/>
      <c r="O81" s="24">
        <v>3</v>
      </c>
      <c r="P81" s="24"/>
      <c r="Q81" s="24"/>
      <c r="R81" s="24"/>
      <c r="S81" s="24"/>
      <c r="T81" s="16"/>
      <c r="U81" s="24"/>
      <c r="V81" s="24"/>
      <c r="W81" s="24"/>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7"/>
      <c r="AV81" s="17"/>
      <c r="AW81" s="17"/>
      <c r="AX81" s="17"/>
      <c r="AY81" s="17"/>
      <c r="AZ81" s="17"/>
      <c r="BA81" s="17"/>
      <c r="BB81" s="17"/>
      <c r="BC81" s="17"/>
      <c r="BD81" s="17"/>
      <c r="BE81" s="17"/>
      <c r="BF81" s="17"/>
      <c r="BG81" s="17"/>
      <c r="BH81" s="29"/>
      <c r="BI81" s="29"/>
    </row>
    <row r="82" spans="1:61" customFormat="1" ht="100" customHeight="1" x14ac:dyDescent="0.35">
      <c r="A82" s="21" t="str">
        <f t="shared" si="3"/>
        <v xml:space="preserve">80: Public services | Police station | </v>
      </c>
      <c r="B82" s="24">
        <v>80</v>
      </c>
      <c r="C82" s="25" t="s">
        <v>465</v>
      </c>
      <c r="D82" s="25" t="s">
        <v>475</v>
      </c>
      <c r="E82" s="25"/>
      <c r="F82" s="24">
        <v>64</v>
      </c>
      <c r="G82" s="24">
        <v>67</v>
      </c>
      <c r="H82" s="26">
        <v>0.8</v>
      </c>
      <c r="I82" s="26">
        <v>0.8</v>
      </c>
      <c r="J82" s="26">
        <v>1.1000000000000001</v>
      </c>
      <c r="K82" s="27" t="s">
        <v>476</v>
      </c>
      <c r="L82" s="27" t="s">
        <v>477</v>
      </c>
      <c r="M82" s="27" t="str">
        <f>IFERROR(VLOOKUP($O82,Lookups!$AA$3:$AB$14,2,FALSE),"")&amp;" "&amp;IFERROR(VLOOKUP($P82,Lookups!$AA$3:$AB$14,2,FALSE),"")</f>
        <v xml:space="preserve">The weekly hours are the total number of hours per week where the majority of workers are present. If there are two or more shifts of workers, add the hours.  </v>
      </c>
      <c r="N82" s="16"/>
      <c r="O82" s="24">
        <v>3</v>
      </c>
      <c r="P82" s="24"/>
      <c r="Q82" s="24"/>
      <c r="R82" s="24"/>
      <c r="S82" s="24"/>
      <c r="T82" s="16"/>
      <c r="U82" s="24"/>
      <c r="V82" s="24"/>
      <c r="W82" s="24"/>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7"/>
      <c r="AV82" s="17"/>
      <c r="AW82" s="17"/>
      <c r="AX82" s="17"/>
      <c r="AY82" s="17"/>
      <c r="AZ82" s="17"/>
      <c r="BA82" s="17"/>
      <c r="BB82" s="17"/>
      <c r="BC82" s="17"/>
      <c r="BD82" s="17"/>
      <c r="BE82" s="17"/>
      <c r="BF82" s="17"/>
      <c r="BG82" s="17"/>
      <c r="BH82" s="29"/>
      <c r="BI82" s="29"/>
    </row>
    <row r="83" spans="1:61" customFormat="1" ht="100" customHeight="1" x14ac:dyDescent="0.35">
      <c r="A83" s="21" t="str">
        <f t="shared" si="3"/>
        <v xml:space="preserve">81: Public services | Prison / incarceration | </v>
      </c>
      <c r="B83" s="24">
        <v>81</v>
      </c>
      <c r="C83" s="25" t="s">
        <v>465</v>
      </c>
      <c r="D83" s="25" t="s">
        <v>435</v>
      </c>
      <c r="E83" s="25"/>
      <c r="F83" s="24">
        <v>100</v>
      </c>
      <c r="G83" s="24">
        <v>105</v>
      </c>
      <c r="H83" s="26">
        <v>1</v>
      </c>
      <c r="I83" s="26">
        <v>1</v>
      </c>
      <c r="J83" s="26">
        <v>1</v>
      </c>
      <c r="K83" s="27" t="s">
        <v>436</v>
      </c>
      <c r="L83" s="27" t="s">
        <v>478</v>
      </c>
      <c r="M83" s="27" t="str">
        <f>IFERROR(VLOOKUP($O83,Lookups!$AA$3:$AB$14,2,FALSE),"")&amp;" "&amp;IFERROR(VLOOKUP($P83,Lookups!$AA$3:$AB$14,2,FALSE),"")</f>
        <v xml:space="preserve">The weekly hours are the total number of hours per week where the majority of workers are present. If there are two or more shifts of workers, add the hours.  </v>
      </c>
      <c r="N83" s="16"/>
      <c r="O83" s="24">
        <v>3</v>
      </c>
      <c r="P83" s="24"/>
      <c r="Q83" s="24">
        <v>10</v>
      </c>
      <c r="R83" s="24">
        <v>9</v>
      </c>
      <c r="S83" s="24">
        <v>10</v>
      </c>
      <c r="T83" s="16"/>
      <c r="U83" s="24" t="s">
        <v>160</v>
      </c>
      <c r="V83" s="24"/>
      <c r="W83" s="24"/>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7"/>
      <c r="AV83" s="17"/>
      <c r="AW83" s="17"/>
      <c r="AX83" s="17"/>
      <c r="AY83" s="17"/>
      <c r="AZ83" s="17"/>
      <c r="BA83" s="17"/>
      <c r="BB83" s="17"/>
      <c r="BC83" s="17"/>
      <c r="BD83" s="17"/>
      <c r="BE83" s="17"/>
      <c r="BF83" s="17"/>
      <c r="BG83" s="17"/>
      <c r="BH83" s="29"/>
      <c r="BI83" s="29"/>
    </row>
    <row r="84" spans="1:61" customFormat="1" ht="100" customHeight="1" x14ac:dyDescent="0.35">
      <c r="A84" s="21" t="str">
        <f t="shared" si="3"/>
        <v xml:space="preserve">82: Public services | Social / meeting hall | </v>
      </c>
      <c r="B84" s="24">
        <v>82</v>
      </c>
      <c r="C84" s="25" t="s">
        <v>465</v>
      </c>
      <c r="D84" s="25" t="s">
        <v>313</v>
      </c>
      <c r="E84" s="25"/>
      <c r="F84" s="24">
        <v>63</v>
      </c>
      <c r="G84" s="24">
        <v>65</v>
      </c>
      <c r="H84" s="26">
        <v>0.6</v>
      </c>
      <c r="I84" s="26">
        <v>1.1000000000000001</v>
      </c>
      <c r="J84" s="26">
        <v>1.6</v>
      </c>
      <c r="K84" s="27" t="s">
        <v>479</v>
      </c>
      <c r="L84" s="27" t="s">
        <v>315</v>
      </c>
      <c r="M84" s="27" t="str">
        <f>IFERROR(VLOOKUP($O84,Lookups!$AA$3:$AB$14,2,FALSE),"")&amp;" "&amp;IFERROR(VLOOKUP($P84,Lookups!$AA$3:$AB$14,2,FALSE),"")</f>
        <v xml:space="preserve">The weekly hours are the hours that the majority of the building is open to serve the public. </v>
      </c>
      <c r="N84" s="16"/>
      <c r="O84" s="24">
        <v>4</v>
      </c>
      <c r="P84" s="24"/>
      <c r="Q84" s="24"/>
      <c r="R84" s="24"/>
      <c r="S84" s="24"/>
      <c r="T84" s="16"/>
      <c r="U84" s="24"/>
      <c r="V84" s="24"/>
      <c r="W84" s="24"/>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7"/>
      <c r="AV84" s="17"/>
      <c r="AW84" s="17"/>
      <c r="AX84" s="17"/>
      <c r="AY84" s="17"/>
      <c r="AZ84" s="17"/>
      <c r="BA84" s="17"/>
      <c r="BB84" s="17"/>
      <c r="BC84" s="17"/>
      <c r="BD84" s="17"/>
      <c r="BE84" s="17"/>
      <c r="BF84" s="17"/>
      <c r="BG84" s="17"/>
      <c r="BH84" s="29"/>
      <c r="BI84" s="29"/>
    </row>
    <row r="85" spans="1:61" customFormat="1" ht="100" customHeight="1" x14ac:dyDescent="0.35">
      <c r="A85" s="21" t="str">
        <f t="shared" si="3"/>
        <v xml:space="preserve">83: Public services | Transportation terminal / station | </v>
      </c>
      <c r="B85" s="24">
        <v>83</v>
      </c>
      <c r="C85" s="25" t="s">
        <v>465</v>
      </c>
      <c r="D85" s="25" t="s">
        <v>480</v>
      </c>
      <c r="E85" s="25"/>
      <c r="F85" s="24">
        <v>50</v>
      </c>
      <c r="G85" s="24">
        <v>54</v>
      </c>
      <c r="H85" s="26">
        <v>0.6</v>
      </c>
      <c r="I85" s="26">
        <v>1.1000000000000001</v>
      </c>
      <c r="J85" s="26">
        <v>1.6</v>
      </c>
      <c r="K85" s="27" t="s">
        <v>481</v>
      </c>
      <c r="L85" s="27" t="s">
        <v>482</v>
      </c>
      <c r="M85" s="27" t="str">
        <f>IFERROR(VLOOKUP($O85,Lookups!$AA$3:$AB$14,2,FALSE),"")&amp;" "&amp;IFERROR(VLOOKUP($P85,Lookups!$AA$3:$AB$14,2,FALSE),"")</f>
        <v xml:space="preserve">The weekly hours are the hours that the majority of the building is open to serve the public. </v>
      </c>
      <c r="N85" s="16"/>
      <c r="O85" s="24">
        <v>4</v>
      </c>
      <c r="P85" s="24"/>
      <c r="Q85" s="24"/>
      <c r="R85" s="24"/>
      <c r="S85" s="24"/>
      <c r="T85" s="16"/>
      <c r="U85" s="24"/>
      <c r="V85" s="24"/>
      <c r="W85" s="24"/>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7"/>
      <c r="AV85" s="17"/>
      <c r="AW85" s="17"/>
      <c r="AX85" s="17"/>
      <c r="AY85" s="17"/>
      <c r="AZ85" s="17"/>
      <c r="BA85" s="17"/>
      <c r="BB85" s="17"/>
      <c r="BC85" s="17"/>
      <c r="BD85" s="17"/>
      <c r="BE85" s="17"/>
      <c r="BF85" s="17"/>
      <c r="BG85" s="17"/>
      <c r="BH85" s="29"/>
      <c r="BI85" s="29"/>
    </row>
    <row r="86" spans="1:61" customFormat="1" ht="100" customHeight="1" x14ac:dyDescent="0.35">
      <c r="A86" s="21" t="str">
        <f t="shared" si="3"/>
        <v xml:space="preserve">84: Public services | Other - public service | </v>
      </c>
      <c r="B86" s="24">
        <v>84</v>
      </c>
      <c r="C86" s="25" t="s">
        <v>465</v>
      </c>
      <c r="D86" s="25" t="s">
        <v>483</v>
      </c>
      <c r="E86" s="25"/>
      <c r="F86" s="24">
        <v>48</v>
      </c>
      <c r="G86" s="24">
        <v>51</v>
      </c>
      <c r="H86" s="26">
        <v>0.8</v>
      </c>
      <c r="I86" s="26">
        <v>1.2</v>
      </c>
      <c r="J86" s="26">
        <v>1.3</v>
      </c>
      <c r="K86" s="27" t="s">
        <v>484</v>
      </c>
      <c r="L86" s="27" t="s">
        <v>485</v>
      </c>
      <c r="M86" s="27" t="str">
        <f>IFERROR(VLOOKUP($O86,Lookups!$AA$3:$AB$14,2,FALSE),"")&amp;" "&amp;IFERROR(VLOOKUP($P86,Lookups!$AA$3:$AB$14,2,FALSE),"")</f>
        <v xml:space="preserve">The weekly hours are the hours that the majority of the building is open to serve the public. </v>
      </c>
      <c r="N86" s="16"/>
      <c r="O86" s="24">
        <v>4</v>
      </c>
      <c r="P86" s="24"/>
      <c r="Q86" s="24"/>
      <c r="R86" s="24"/>
      <c r="S86" s="24"/>
      <c r="T86" s="16"/>
      <c r="U86" s="24"/>
      <c r="V86" s="24"/>
      <c r="W86" s="24"/>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7"/>
      <c r="AV86" s="17"/>
      <c r="AW86" s="17"/>
      <c r="AX86" s="17"/>
      <c r="AY86" s="17"/>
      <c r="AZ86" s="17"/>
      <c r="BA86" s="17"/>
      <c r="BB86" s="17"/>
      <c r="BC86" s="17"/>
      <c r="BD86" s="17"/>
      <c r="BE86" s="17"/>
      <c r="BF86" s="17"/>
      <c r="BG86" s="17"/>
      <c r="BH86" s="29"/>
      <c r="BI86" s="29"/>
    </row>
    <row r="87" spans="1:61" customFormat="1" ht="100" customHeight="1" x14ac:dyDescent="0.35">
      <c r="A87" s="21" t="str">
        <f t="shared" si="3"/>
        <v xml:space="preserve">85: Religious worship | Worship facility | </v>
      </c>
      <c r="B87" s="24">
        <v>85</v>
      </c>
      <c r="C87" s="25" t="s">
        <v>486</v>
      </c>
      <c r="D87" s="25" t="s">
        <v>487</v>
      </c>
      <c r="E87" s="25"/>
      <c r="F87" s="24">
        <v>50</v>
      </c>
      <c r="G87" s="24">
        <v>54</v>
      </c>
      <c r="H87" s="26">
        <v>0.9</v>
      </c>
      <c r="I87" s="26">
        <v>1.7</v>
      </c>
      <c r="J87" s="26">
        <v>1.7</v>
      </c>
      <c r="K87" s="27" t="s">
        <v>488</v>
      </c>
      <c r="L87" s="27" t="s">
        <v>489</v>
      </c>
      <c r="M87" s="27" t="str">
        <f>IFERROR(VLOOKUP($O87,Lookups!$AA$3:$AB$14,2,FALSE),"")&amp;" "&amp;IFERROR(VLOOKUP($P87,Lookups!$AA$3:$AB$14,2,FALSE),"")</f>
        <v xml:space="preserve">The weekly hours the facility is open for operation, which may include worship services, choir practice, administrative use, committee meetings, classes, or other activities.  </v>
      </c>
      <c r="N87" s="16"/>
      <c r="O87" s="24">
        <v>5</v>
      </c>
      <c r="P87" s="24"/>
      <c r="Q87" s="24"/>
      <c r="R87" s="24"/>
      <c r="S87" s="24"/>
      <c r="T87" s="16"/>
      <c r="U87" s="24"/>
      <c r="V87" s="24"/>
      <c r="W87" s="24"/>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7"/>
      <c r="AV87" s="17"/>
      <c r="AW87" s="17"/>
      <c r="AX87" s="17"/>
      <c r="AY87" s="17"/>
      <c r="AZ87" s="17"/>
      <c r="BA87" s="17"/>
      <c r="BB87" s="17"/>
      <c r="BC87" s="17"/>
      <c r="BD87" s="17"/>
      <c r="BE87" s="17"/>
      <c r="BF87" s="17"/>
      <c r="BG87" s="17"/>
      <c r="BH87" s="29"/>
      <c r="BI87" s="29"/>
    </row>
    <row r="88" spans="1:61" customFormat="1" ht="100" customHeight="1" x14ac:dyDescent="0.35">
      <c r="A88" s="21" t="str">
        <f t="shared" si="3"/>
        <v xml:space="preserve">86: Retail | Automobile dealership | </v>
      </c>
      <c r="B88" s="24">
        <v>86</v>
      </c>
      <c r="C88" s="25" t="s">
        <v>490</v>
      </c>
      <c r="D88" s="25" t="s">
        <v>491</v>
      </c>
      <c r="E88" s="25"/>
      <c r="F88" s="24">
        <v>52</v>
      </c>
      <c r="G88" s="24">
        <v>58</v>
      </c>
      <c r="H88" s="26">
        <v>0.6</v>
      </c>
      <c r="I88" s="26">
        <v>1</v>
      </c>
      <c r="J88" s="26">
        <v>1.5</v>
      </c>
      <c r="K88" s="27" t="s">
        <v>492</v>
      </c>
      <c r="L88" s="27" t="s">
        <v>493</v>
      </c>
      <c r="M88" s="27" t="str">
        <f>IFERROR(VLOOKUP($O88,Lookups!$AA$3:$AB$14,2,FALSE),"")&amp;" "&amp;IFERROR(VLOOKUP($P88,Lookups!$AA$3:$AB$14,2,FALSE),"")</f>
        <v xml:space="preserve">The weekly hours are the hours that the majority of the building is open to serve the public. </v>
      </c>
      <c r="N88" s="16"/>
      <c r="O88" s="24">
        <v>4</v>
      </c>
      <c r="P88" s="24"/>
      <c r="Q88" s="24"/>
      <c r="R88" s="24"/>
      <c r="S88" s="24"/>
      <c r="T88" s="16"/>
      <c r="U88" s="24"/>
      <c r="V88" s="24"/>
      <c r="W88" s="24"/>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7"/>
      <c r="AV88" s="17"/>
      <c r="AW88" s="17"/>
      <c r="AX88" s="17"/>
      <c r="AY88" s="17"/>
      <c r="AZ88" s="17"/>
      <c r="BA88" s="17"/>
      <c r="BB88" s="17"/>
      <c r="BC88" s="17"/>
      <c r="BD88" s="17"/>
      <c r="BE88" s="17"/>
      <c r="BF88" s="17"/>
      <c r="BG88" s="17"/>
      <c r="BH88" s="29"/>
      <c r="BI88" s="29"/>
    </row>
    <row r="89" spans="1:61" customFormat="1" ht="100" customHeight="1" x14ac:dyDescent="0.35">
      <c r="A89" s="21" t="str">
        <f t="shared" si="3"/>
        <v xml:space="preserve">87: Retail | Convenience store with gas station | </v>
      </c>
      <c r="B89" s="24">
        <v>87</v>
      </c>
      <c r="C89" s="25" t="s">
        <v>490</v>
      </c>
      <c r="D89" s="25" t="s">
        <v>360</v>
      </c>
      <c r="E89" s="25"/>
      <c r="F89" s="24">
        <v>179</v>
      </c>
      <c r="G89" s="24">
        <v>185</v>
      </c>
      <c r="H89" s="26">
        <v>0.5</v>
      </c>
      <c r="I89" s="26">
        <v>0.9</v>
      </c>
      <c r="J89" s="26">
        <v>1.3</v>
      </c>
      <c r="K89" s="27" t="s">
        <v>361</v>
      </c>
      <c r="L89" s="27" t="s">
        <v>362</v>
      </c>
      <c r="M89" s="27" t="str">
        <f>IFERROR(VLOOKUP($O89,Lookups!$AA$3:$AB$14,2,FALSE),"")&amp;" "&amp;IFERROR(VLOOKUP($P89,Lookups!$AA$3:$AB$14,2,FALSE),"")</f>
        <v xml:space="preserve">The weekly hours are the hours that the majority of the building is open to serve the public. </v>
      </c>
      <c r="N89" s="16"/>
      <c r="O89" s="24">
        <v>4</v>
      </c>
      <c r="P89" s="24"/>
      <c r="Q89" s="24"/>
      <c r="R89" s="24"/>
      <c r="S89" s="24"/>
      <c r="T89" s="16"/>
      <c r="U89" s="24"/>
      <c r="V89" s="24"/>
      <c r="W89" s="24"/>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7"/>
      <c r="AV89" s="17"/>
      <c r="AW89" s="17"/>
      <c r="AX89" s="17"/>
      <c r="AY89" s="17"/>
      <c r="AZ89" s="17"/>
      <c r="BA89" s="17"/>
      <c r="BB89" s="17"/>
      <c r="BC89" s="17"/>
      <c r="BD89" s="17"/>
      <c r="BE89" s="17"/>
      <c r="BF89" s="17"/>
      <c r="BG89" s="17"/>
      <c r="BH89" s="29"/>
      <c r="BI89" s="29"/>
    </row>
    <row r="90" spans="1:61" customFormat="1" ht="100" customHeight="1" x14ac:dyDescent="0.35">
      <c r="A90" s="21" t="str">
        <f t="shared" si="3"/>
        <v xml:space="preserve">88: Retail | Convenience store without gas station | </v>
      </c>
      <c r="B90" s="24">
        <v>88</v>
      </c>
      <c r="C90" s="25" t="s">
        <v>490</v>
      </c>
      <c r="D90" s="25" t="s">
        <v>364</v>
      </c>
      <c r="E90" s="25"/>
      <c r="F90" s="24">
        <v>179</v>
      </c>
      <c r="G90" s="24">
        <v>185</v>
      </c>
      <c r="H90" s="26">
        <v>0.5</v>
      </c>
      <c r="I90" s="26">
        <v>0.9</v>
      </c>
      <c r="J90" s="26">
        <v>1.3</v>
      </c>
      <c r="K90" s="27" t="s">
        <v>365</v>
      </c>
      <c r="L90" s="27" t="s">
        <v>366</v>
      </c>
      <c r="M90" s="27" t="str">
        <f>IFERROR(VLOOKUP($O90,Lookups!$AA$3:$AB$14,2,FALSE),"")&amp;" "&amp;IFERROR(VLOOKUP($P90,Lookups!$AA$3:$AB$14,2,FALSE),"")</f>
        <v xml:space="preserve">The weekly hours are the hours that the majority of the building is open to serve the public. </v>
      </c>
      <c r="N90" s="16"/>
      <c r="O90" s="24">
        <v>4</v>
      </c>
      <c r="P90" s="24"/>
      <c r="Q90" s="24"/>
      <c r="R90" s="24"/>
      <c r="S90" s="24"/>
      <c r="T90" s="16"/>
      <c r="U90" s="24"/>
      <c r="V90" s="24"/>
      <c r="W90" s="24"/>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7"/>
      <c r="AV90" s="17"/>
      <c r="AW90" s="17"/>
      <c r="AX90" s="17"/>
      <c r="AY90" s="17"/>
      <c r="AZ90" s="17"/>
      <c r="BA90" s="17"/>
      <c r="BB90" s="17"/>
      <c r="BC90" s="17"/>
      <c r="BD90" s="17"/>
      <c r="BE90" s="17"/>
      <c r="BF90" s="17"/>
      <c r="BG90" s="17"/>
      <c r="BH90" s="29"/>
      <c r="BI90" s="29"/>
    </row>
    <row r="91" spans="1:61" customFormat="1" ht="100" customHeight="1" x14ac:dyDescent="0.35">
      <c r="A91" s="21" t="str">
        <f t="shared" si="3"/>
        <v xml:space="preserve">89: Retail | Enclosed mall | </v>
      </c>
      <c r="B91" s="24">
        <v>89</v>
      </c>
      <c r="C91" s="25" t="s">
        <v>490</v>
      </c>
      <c r="D91" s="25" t="s">
        <v>494</v>
      </c>
      <c r="E91" s="25"/>
      <c r="F91" s="24">
        <v>38</v>
      </c>
      <c r="G91" s="24">
        <v>42</v>
      </c>
      <c r="H91" s="26">
        <v>0.6</v>
      </c>
      <c r="I91" s="26">
        <v>1</v>
      </c>
      <c r="J91" s="26">
        <v>1.5</v>
      </c>
      <c r="K91" s="27" t="s">
        <v>495</v>
      </c>
      <c r="L91" s="27" t="s">
        <v>496</v>
      </c>
      <c r="M91" s="27" t="str">
        <f>IFERROR(VLOOKUP($O91,Lookups!$AA$3:$AB$14,2,FALSE),"")&amp;" "&amp;IFERROR(VLOOKUP($P91,Lookups!$AA$3:$AB$14,2,FALSE),"")</f>
        <v xml:space="preserve">The weekly hours are the hours that the majority of the building is open to serve the public. </v>
      </c>
      <c r="N91" s="16"/>
      <c r="O91" s="24">
        <v>4</v>
      </c>
      <c r="P91" s="24"/>
      <c r="Q91" s="24"/>
      <c r="R91" s="24">
        <v>5</v>
      </c>
      <c r="S91" s="24"/>
      <c r="T91" s="16"/>
      <c r="U91" s="24"/>
      <c r="V91" s="24"/>
      <c r="W91" s="24"/>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7"/>
      <c r="AV91" s="17"/>
      <c r="AW91" s="17"/>
      <c r="AX91" s="17"/>
      <c r="AY91" s="17"/>
      <c r="AZ91" s="17"/>
      <c r="BA91" s="17"/>
      <c r="BB91" s="17"/>
      <c r="BC91" s="17"/>
      <c r="BD91" s="17"/>
      <c r="BE91" s="17"/>
      <c r="BF91" s="17"/>
      <c r="BG91" s="17"/>
      <c r="BH91" s="29"/>
      <c r="BI91" s="29"/>
    </row>
    <row r="92" spans="1:61" customFormat="1" ht="100" customHeight="1" x14ac:dyDescent="0.35">
      <c r="A92" s="21" t="str">
        <f t="shared" si="3"/>
        <v>90: Retail | Lifestyle center | Enclosed mall</v>
      </c>
      <c r="B92" s="24">
        <v>90</v>
      </c>
      <c r="C92" s="25" t="s">
        <v>490</v>
      </c>
      <c r="D92" s="25" t="s">
        <v>497</v>
      </c>
      <c r="E92" s="25" t="s">
        <v>494</v>
      </c>
      <c r="F92" s="24">
        <v>38</v>
      </c>
      <c r="G92" s="24">
        <v>42</v>
      </c>
      <c r="H92" s="26">
        <v>0.6</v>
      </c>
      <c r="I92" s="26">
        <v>1</v>
      </c>
      <c r="J92" s="26">
        <v>1.5</v>
      </c>
      <c r="K92" s="27" t="s">
        <v>495</v>
      </c>
      <c r="L92" s="27" t="s">
        <v>496</v>
      </c>
      <c r="M92" s="27" t="str">
        <f>IFERROR(VLOOKUP($O92,Lookups!$AA$3:$AB$14,2,FALSE),"")&amp;" "&amp;IFERROR(VLOOKUP($P92,Lookups!$AA$3:$AB$14,2,FALSE),"")</f>
        <v xml:space="preserve">The weekly hours are the hours that the majority of the building is open to serve the public. </v>
      </c>
      <c r="N92" s="16"/>
      <c r="O92" s="24">
        <v>4</v>
      </c>
      <c r="P92" s="24"/>
      <c r="Q92" s="24"/>
      <c r="R92" s="24">
        <v>5</v>
      </c>
      <c r="S92" s="24"/>
      <c r="T92" s="16"/>
      <c r="U92" s="24"/>
      <c r="V92" s="24"/>
      <c r="W92" s="24"/>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7"/>
      <c r="AV92" s="17"/>
      <c r="AW92" s="17"/>
      <c r="AX92" s="17"/>
      <c r="AY92" s="17"/>
      <c r="AZ92" s="17"/>
      <c r="BA92" s="17"/>
      <c r="BB92" s="17"/>
      <c r="BC92" s="17"/>
      <c r="BD92" s="17"/>
      <c r="BE92" s="17"/>
      <c r="BF92" s="17"/>
      <c r="BG92" s="17"/>
      <c r="BH92" s="29"/>
      <c r="BI92" s="29"/>
    </row>
    <row r="93" spans="1:61" customFormat="1" ht="100" customHeight="1" x14ac:dyDescent="0.35">
      <c r="A93" s="21" t="str">
        <f t="shared" si="3"/>
        <v>91: Retail | Lifestyle center | Other retail</v>
      </c>
      <c r="B93" s="24">
        <v>91</v>
      </c>
      <c r="C93" s="25" t="s">
        <v>490</v>
      </c>
      <c r="D93" s="25" t="s">
        <v>497</v>
      </c>
      <c r="E93" s="25" t="s">
        <v>498</v>
      </c>
      <c r="F93" s="24">
        <v>40</v>
      </c>
      <c r="G93" s="24">
        <v>45</v>
      </c>
      <c r="H93" s="26">
        <v>0.6</v>
      </c>
      <c r="I93" s="26">
        <v>1</v>
      </c>
      <c r="J93" s="26">
        <v>1.5</v>
      </c>
      <c r="K93" s="27" t="s">
        <v>499</v>
      </c>
      <c r="L93" s="27" t="s">
        <v>500</v>
      </c>
      <c r="M93" s="27" t="str">
        <f>IFERROR(VLOOKUP($O93,Lookups!$AA$3:$AB$14,2,FALSE),"")&amp;" "&amp;IFERROR(VLOOKUP($P93,Lookups!$AA$3:$AB$14,2,FALSE),"")</f>
        <v xml:space="preserve">The weekly hours are the hours that the majority of the building is open to serve the public. </v>
      </c>
      <c r="N93" s="16"/>
      <c r="O93" s="24">
        <v>4</v>
      </c>
      <c r="P93" s="24"/>
      <c r="Q93" s="24"/>
      <c r="R93" s="24"/>
      <c r="S93" s="24"/>
      <c r="T93" s="16"/>
      <c r="U93" s="24"/>
      <c r="V93" s="24"/>
      <c r="W93" s="24"/>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7"/>
      <c r="AV93" s="17"/>
      <c r="AW93" s="17"/>
      <c r="AX93" s="17"/>
      <c r="AY93" s="17"/>
      <c r="AZ93" s="17"/>
      <c r="BA93" s="17"/>
      <c r="BB93" s="17"/>
      <c r="BC93" s="17"/>
      <c r="BD93" s="17"/>
      <c r="BE93" s="17"/>
      <c r="BF93" s="17"/>
      <c r="BG93" s="17"/>
      <c r="BH93" s="29"/>
      <c r="BI93" s="29"/>
    </row>
    <row r="94" spans="1:61" customFormat="1" ht="100" customHeight="1" x14ac:dyDescent="0.35">
      <c r="A94" s="21" t="str">
        <f t="shared" si="3"/>
        <v>92: Retail | Lifestyle center | Retail store</v>
      </c>
      <c r="B94" s="24">
        <v>92</v>
      </c>
      <c r="C94" s="25" t="s">
        <v>490</v>
      </c>
      <c r="D94" s="25" t="s">
        <v>497</v>
      </c>
      <c r="E94" s="25" t="s">
        <v>501</v>
      </c>
      <c r="F94" s="24">
        <v>40</v>
      </c>
      <c r="G94" s="24">
        <v>45</v>
      </c>
      <c r="H94" s="26">
        <v>0.6</v>
      </c>
      <c r="I94" s="26">
        <v>1</v>
      </c>
      <c r="J94" s="26">
        <v>1.5</v>
      </c>
      <c r="K94" s="27" t="s">
        <v>502</v>
      </c>
      <c r="L94" s="27" t="s">
        <v>500</v>
      </c>
      <c r="M94" s="27" t="str">
        <f>IFERROR(VLOOKUP($O94,Lookups!$AA$3:$AB$14,2,FALSE),"")&amp;" "&amp;IFERROR(VLOOKUP($P94,Lookups!$AA$3:$AB$14,2,FALSE),"")</f>
        <v xml:space="preserve">The weekly hours are the hours that the majority of the building is open to serve the public. </v>
      </c>
      <c r="N94" s="16"/>
      <c r="O94" s="24">
        <v>4</v>
      </c>
      <c r="P94" s="24"/>
      <c r="Q94" s="24"/>
      <c r="R94" s="24"/>
      <c r="S94" s="24"/>
      <c r="T94" s="16"/>
      <c r="U94" s="24"/>
      <c r="V94" s="24"/>
      <c r="W94" s="24"/>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7"/>
      <c r="AV94" s="17"/>
      <c r="AW94" s="17"/>
      <c r="AX94" s="17"/>
      <c r="AY94" s="17"/>
      <c r="AZ94" s="17"/>
      <c r="BA94" s="17"/>
      <c r="BB94" s="17"/>
      <c r="BC94" s="17"/>
      <c r="BD94" s="17"/>
      <c r="BE94" s="17"/>
      <c r="BF94" s="17"/>
      <c r="BG94" s="17"/>
      <c r="BH94" s="29"/>
      <c r="BI94" s="29"/>
    </row>
    <row r="95" spans="1:61" customFormat="1" ht="100" customHeight="1" x14ac:dyDescent="0.35">
      <c r="A95" s="21" t="str">
        <f t="shared" si="3"/>
        <v xml:space="preserve">93: Retail | Lifestyle center | </v>
      </c>
      <c r="B95" s="24">
        <v>93</v>
      </c>
      <c r="C95" s="25" t="s">
        <v>490</v>
      </c>
      <c r="D95" s="25" t="s">
        <v>497</v>
      </c>
      <c r="E95" s="25"/>
      <c r="F95" s="24">
        <v>40</v>
      </c>
      <c r="G95" s="24">
        <v>45</v>
      </c>
      <c r="H95" s="26">
        <v>0.6</v>
      </c>
      <c r="I95" s="26">
        <v>1</v>
      </c>
      <c r="J95" s="26">
        <v>1.5</v>
      </c>
      <c r="K95" s="27" t="s">
        <v>447</v>
      </c>
      <c r="L95" s="27" t="s">
        <v>500</v>
      </c>
      <c r="M95" s="27" t="str">
        <f>IFERROR(VLOOKUP($O95,Lookups!$AA$3:$AB$14,2,FALSE),"")&amp;" "&amp;IFERROR(VLOOKUP($P95,Lookups!$AA$3:$AB$14,2,FALSE),"")</f>
        <v xml:space="preserve">The weekly hours are the hours that the majority of the building is open to serve the public. </v>
      </c>
      <c r="N95" s="25" t="s">
        <v>503</v>
      </c>
      <c r="O95" s="24">
        <v>4</v>
      </c>
      <c r="P95" s="24"/>
      <c r="Q95" s="24"/>
      <c r="R95" s="24"/>
      <c r="S95" s="24"/>
      <c r="T95" s="16"/>
      <c r="U95" s="24"/>
      <c r="V95" s="24"/>
      <c r="W95" s="24"/>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7"/>
      <c r="AV95" s="17"/>
      <c r="AW95" s="17"/>
      <c r="AX95" s="17"/>
      <c r="AY95" s="17"/>
      <c r="AZ95" s="17"/>
      <c r="BA95" s="17"/>
      <c r="BB95" s="17"/>
      <c r="BC95" s="17"/>
      <c r="BD95" s="17"/>
      <c r="BE95" s="17"/>
      <c r="BF95" s="17"/>
      <c r="BG95" s="17"/>
      <c r="BH95" s="29"/>
      <c r="BI95" s="29"/>
    </row>
    <row r="96" spans="1:61" customFormat="1" ht="100" customHeight="1" x14ac:dyDescent="0.35">
      <c r="A96" s="21" t="str">
        <f t="shared" si="3"/>
        <v xml:space="preserve">94: Retail | Retail store | </v>
      </c>
      <c r="B96" s="24">
        <v>94</v>
      </c>
      <c r="C96" s="25" t="s">
        <v>490</v>
      </c>
      <c r="D96" s="25" t="s">
        <v>501</v>
      </c>
      <c r="E96" s="25"/>
      <c r="F96" s="24">
        <v>46</v>
      </c>
      <c r="G96" s="24">
        <v>50</v>
      </c>
      <c r="H96" s="26">
        <v>0.6</v>
      </c>
      <c r="I96" s="26">
        <v>1</v>
      </c>
      <c r="J96" s="26">
        <v>1.5</v>
      </c>
      <c r="K96" s="27" t="s">
        <v>504</v>
      </c>
      <c r="L96" s="27" t="s">
        <v>505</v>
      </c>
      <c r="M96" s="27" t="str">
        <f>IFERROR(VLOOKUP($O96,Lookups!$AA$3:$AB$14,2,FALSE),"")&amp;" "&amp;IFERROR(VLOOKUP($P96,Lookups!$AA$3:$AB$14,2,FALSE),"")</f>
        <v xml:space="preserve">The weekly hours are the hours that the majority of the building is open to serve the public. </v>
      </c>
      <c r="N96" s="16"/>
      <c r="O96" s="24">
        <v>4</v>
      </c>
      <c r="P96" s="24"/>
      <c r="Q96" s="24"/>
      <c r="R96" s="24"/>
      <c r="S96" s="24"/>
      <c r="T96" s="16"/>
      <c r="U96" s="24"/>
      <c r="V96" s="24"/>
      <c r="W96" s="24"/>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7"/>
      <c r="AV96" s="17"/>
      <c r="AW96" s="17"/>
      <c r="AX96" s="17"/>
      <c r="AY96" s="17"/>
      <c r="AZ96" s="17"/>
      <c r="BA96" s="17"/>
      <c r="BB96" s="17"/>
      <c r="BC96" s="17"/>
      <c r="BD96" s="17"/>
      <c r="BE96" s="17"/>
      <c r="BF96" s="17"/>
      <c r="BG96" s="17"/>
      <c r="BH96" s="29"/>
      <c r="BI96" s="29"/>
    </row>
    <row r="97" spans="1:61" customFormat="1" ht="100" customHeight="1" x14ac:dyDescent="0.35">
      <c r="A97" s="21" t="str">
        <f t="shared" si="3"/>
        <v>95: Retail | Strip mall | INPUT INDIVIDUAL SPACE TYPES</v>
      </c>
      <c r="B97" s="24">
        <v>95</v>
      </c>
      <c r="C97" s="25" t="s">
        <v>490</v>
      </c>
      <c r="D97" s="25" t="s">
        <v>506</v>
      </c>
      <c r="E97" s="25" t="s">
        <v>446</v>
      </c>
      <c r="F97" s="24"/>
      <c r="G97" s="24"/>
      <c r="H97" s="26"/>
      <c r="I97" s="26"/>
      <c r="J97" s="38"/>
      <c r="K97" s="27" t="s">
        <v>447</v>
      </c>
      <c r="L97" s="27"/>
      <c r="M97" s="27" t="str">
        <f>IFERROR(VLOOKUP($O97,Lookups!$AA$3:$AB$14,2,FALSE),"")&amp;" "&amp;IFERROR(VLOOKUP($P97,Lookups!$AA$3:$AB$14,2,FALSE),"")</f>
        <v xml:space="preserve">Must use Section 7.2.3 method for mixed-use buildings. </v>
      </c>
      <c r="N97" s="25" t="s">
        <v>507</v>
      </c>
      <c r="O97" s="24">
        <v>6</v>
      </c>
      <c r="P97" s="24"/>
      <c r="Q97" s="24"/>
      <c r="R97" s="24">
        <v>4</v>
      </c>
      <c r="S97" s="24"/>
      <c r="T97" s="16"/>
      <c r="U97" s="24"/>
      <c r="V97" s="24"/>
      <c r="W97" s="24" t="s">
        <v>162</v>
      </c>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7"/>
      <c r="AV97" s="17"/>
      <c r="AW97" s="17"/>
      <c r="AX97" s="17"/>
      <c r="AY97" s="17"/>
      <c r="AZ97" s="17"/>
      <c r="BA97" s="17"/>
      <c r="BB97" s="17"/>
      <c r="BC97" s="17"/>
      <c r="BD97" s="17"/>
      <c r="BE97" s="17"/>
      <c r="BF97" s="17"/>
      <c r="BG97" s="17"/>
      <c r="BH97" s="29"/>
      <c r="BI97" s="29"/>
    </row>
    <row r="98" spans="1:61" customFormat="1" ht="100" customHeight="1" x14ac:dyDescent="0.35">
      <c r="A98" s="21" t="str">
        <f t="shared" si="3"/>
        <v xml:space="preserve">96: Retail | Supermarket / grocery store | </v>
      </c>
      <c r="B98" s="24">
        <v>96</v>
      </c>
      <c r="C98" s="25" t="s">
        <v>490</v>
      </c>
      <c r="D98" s="25" t="s">
        <v>389</v>
      </c>
      <c r="E98" s="25"/>
      <c r="F98" s="24">
        <v>153</v>
      </c>
      <c r="G98" s="24">
        <v>157</v>
      </c>
      <c r="H98" s="26">
        <v>0.5</v>
      </c>
      <c r="I98" s="26">
        <v>0.9</v>
      </c>
      <c r="J98" s="26">
        <v>1.3</v>
      </c>
      <c r="K98" s="27" t="s">
        <v>372</v>
      </c>
      <c r="L98" s="27" t="s">
        <v>508</v>
      </c>
      <c r="M98" s="27" t="str">
        <f>IFERROR(VLOOKUP($O98,Lookups!$AA$3:$AB$14,2,FALSE),"")&amp;" "&amp;IFERROR(VLOOKUP($P98,Lookups!$AA$3:$AB$14,2,FALSE),"")</f>
        <v xml:space="preserve">The weekly hours are the hours that the majority of the building is open to serve the public. </v>
      </c>
      <c r="N98" s="16"/>
      <c r="O98" s="24">
        <v>4</v>
      </c>
      <c r="P98" s="24"/>
      <c r="Q98" s="24"/>
      <c r="R98" s="24"/>
      <c r="S98" s="24"/>
      <c r="T98" s="16"/>
      <c r="U98" s="24"/>
      <c r="V98" s="24"/>
      <c r="W98" s="24"/>
      <c r="X98" s="16"/>
      <c r="Y98" s="16"/>
      <c r="Z98" s="16"/>
      <c r="AA98" s="16"/>
      <c r="AB98" s="16"/>
      <c r="AC98" s="16"/>
      <c r="AD98" s="16"/>
      <c r="AE98" s="16"/>
      <c r="AF98" s="16"/>
      <c r="AG98" s="16"/>
      <c r="AH98" s="16"/>
      <c r="AI98" s="16"/>
      <c r="AJ98" s="16"/>
      <c r="AK98" s="16"/>
      <c r="AL98" s="16"/>
      <c r="AM98" s="16"/>
      <c r="AN98" s="16"/>
      <c r="AO98" s="16"/>
      <c r="AP98" s="16"/>
      <c r="AQ98" s="16"/>
      <c r="AR98" s="16"/>
      <c r="AS98" s="16"/>
      <c r="AT98" s="16"/>
      <c r="AU98" s="17"/>
      <c r="AV98" s="17"/>
      <c r="AW98" s="17"/>
      <c r="AX98" s="17"/>
      <c r="AY98" s="17"/>
      <c r="AZ98" s="17"/>
      <c r="BA98" s="17"/>
      <c r="BB98" s="17"/>
      <c r="BC98" s="17"/>
      <c r="BD98" s="17"/>
      <c r="BE98" s="17"/>
      <c r="BF98" s="17"/>
      <c r="BG98" s="17"/>
      <c r="BH98" s="29"/>
      <c r="BI98" s="29"/>
    </row>
    <row r="99" spans="1:61" customFormat="1" ht="100" customHeight="1" x14ac:dyDescent="0.35">
      <c r="A99" s="21" t="str">
        <f t="shared" si="3"/>
        <v>97: Retail | Wholesale club / supercenter | INPUT INDIVIDUAL SPACE TYPES</v>
      </c>
      <c r="B99" s="24">
        <v>97</v>
      </c>
      <c r="C99" s="25" t="s">
        <v>490</v>
      </c>
      <c r="D99" s="25" t="s">
        <v>390</v>
      </c>
      <c r="E99" s="25" t="s">
        <v>446</v>
      </c>
      <c r="F99" s="24"/>
      <c r="G99" s="24"/>
      <c r="H99" s="26"/>
      <c r="I99" s="26"/>
      <c r="J99" s="26"/>
      <c r="K99" s="27" t="s">
        <v>447</v>
      </c>
      <c r="L99" s="27" t="s">
        <v>392</v>
      </c>
      <c r="M99" s="27" t="str">
        <f>IFERROR(VLOOKUP($O99,Lookups!$AA$3:$AB$14,2,FALSE),"")&amp;" "&amp;IFERROR(VLOOKUP($P99,Lookups!$AA$3:$AB$14,2,FALSE),"")</f>
        <v xml:space="preserve">Must use Section 7.2.3 method for mixed-use buildings. </v>
      </c>
      <c r="N99" s="25"/>
      <c r="O99" s="24">
        <v>6</v>
      </c>
      <c r="P99" s="24"/>
      <c r="Q99" s="24"/>
      <c r="R99" s="24">
        <v>4</v>
      </c>
      <c r="S99" s="24"/>
      <c r="T99" s="16"/>
      <c r="U99" s="24"/>
      <c r="V99" s="24"/>
      <c r="W99" s="24" t="s">
        <v>162</v>
      </c>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7"/>
      <c r="AV99" s="17"/>
      <c r="AW99" s="17"/>
      <c r="AX99" s="17"/>
      <c r="AY99" s="17"/>
      <c r="AZ99" s="17"/>
      <c r="BA99" s="17"/>
      <c r="BB99" s="17"/>
      <c r="BC99" s="17"/>
      <c r="BD99" s="17"/>
      <c r="BE99" s="17"/>
      <c r="BF99" s="17"/>
      <c r="BG99" s="17"/>
      <c r="BH99" s="29"/>
      <c r="BI99" s="29"/>
    </row>
    <row r="100" spans="1:61" customFormat="1" ht="100" customHeight="1" x14ac:dyDescent="0.35">
      <c r="A100" s="21" t="str">
        <f t="shared" si="3"/>
        <v>98: Retail | Other - retail / mall | Enclosed mall</v>
      </c>
      <c r="B100" s="24">
        <v>98</v>
      </c>
      <c r="C100" s="25" t="s">
        <v>490</v>
      </c>
      <c r="D100" s="25" t="s">
        <v>509</v>
      </c>
      <c r="E100" s="25" t="s">
        <v>494</v>
      </c>
      <c r="F100" s="24">
        <v>38</v>
      </c>
      <c r="G100" s="24">
        <v>42</v>
      </c>
      <c r="H100" s="26">
        <v>0.6</v>
      </c>
      <c r="I100" s="26">
        <v>1</v>
      </c>
      <c r="J100" s="26">
        <v>1.5</v>
      </c>
      <c r="K100" s="27" t="s">
        <v>495</v>
      </c>
      <c r="L100" s="27" t="s">
        <v>510</v>
      </c>
      <c r="M100" s="27" t="str">
        <f>IFERROR(VLOOKUP($O100,Lookups!$AA$3:$AB$14,2,FALSE),"")&amp;" "&amp;IFERROR(VLOOKUP($P100,Lookups!$AA$3:$AB$14,2,FALSE),"")</f>
        <v xml:space="preserve">The weekly hours are the hours that the majority of the building is open to serve the public. </v>
      </c>
      <c r="N100" s="16"/>
      <c r="O100" s="24">
        <v>4</v>
      </c>
      <c r="P100" s="24"/>
      <c r="Q100" s="24"/>
      <c r="R100" s="24">
        <v>5</v>
      </c>
      <c r="S100" s="24"/>
      <c r="T100" s="16"/>
      <c r="U100" s="24"/>
      <c r="V100" s="24"/>
      <c r="W100" s="24"/>
      <c r="X100" s="16"/>
      <c r="Y100" s="16"/>
      <c r="Z100" s="16"/>
      <c r="AA100" s="16"/>
      <c r="AB100" s="16"/>
      <c r="AC100" s="16"/>
      <c r="AD100" s="16"/>
      <c r="AE100" s="16"/>
      <c r="AF100" s="16"/>
      <c r="AG100" s="16"/>
      <c r="AH100" s="16"/>
      <c r="AI100" s="16"/>
      <c r="AJ100" s="16"/>
      <c r="AK100" s="16"/>
      <c r="AL100" s="16"/>
      <c r="AM100" s="16"/>
      <c r="AN100" s="16"/>
      <c r="AO100" s="16"/>
      <c r="AP100" s="16"/>
      <c r="AQ100" s="16"/>
      <c r="AR100" s="16"/>
      <c r="AS100" s="16"/>
      <c r="AT100" s="16"/>
      <c r="AU100" s="17"/>
      <c r="AV100" s="17"/>
      <c r="AW100" s="17"/>
      <c r="AX100" s="17"/>
      <c r="AY100" s="17"/>
      <c r="AZ100" s="17"/>
      <c r="BA100" s="17"/>
      <c r="BB100" s="17"/>
      <c r="BC100" s="17"/>
      <c r="BD100" s="17"/>
      <c r="BE100" s="17"/>
      <c r="BF100" s="17"/>
      <c r="BG100" s="17"/>
      <c r="BH100" s="29"/>
      <c r="BI100" s="29"/>
    </row>
    <row r="101" spans="1:61" customFormat="1" ht="100" customHeight="1" x14ac:dyDescent="0.35">
      <c r="A101" s="21" t="str">
        <f t="shared" si="3"/>
        <v>99: Retail | Other - retail / mall | INPUT INDIVIDUAL SPACE TYPES</v>
      </c>
      <c r="B101" s="24">
        <v>99</v>
      </c>
      <c r="C101" s="25" t="s">
        <v>490</v>
      </c>
      <c r="D101" s="25" t="s">
        <v>509</v>
      </c>
      <c r="E101" s="25" t="s">
        <v>446</v>
      </c>
      <c r="F101" s="24"/>
      <c r="G101" s="24"/>
      <c r="H101" s="26"/>
      <c r="I101" s="26"/>
      <c r="J101" s="26"/>
      <c r="K101" s="27" t="s">
        <v>447</v>
      </c>
      <c r="L101" s="27"/>
      <c r="M101" s="27" t="str">
        <f>IFERROR(VLOOKUP($O101,Lookups!$AA$3:$AB$14,2,FALSE),"")&amp;" "&amp;IFERROR(VLOOKUP($P101,Lookups!$AA$3:$AB$14,2,FALSE),"")</f>
        <v xml:space="preserve">Must use Section 7.2.3 method for mixed-use buildings. </v>
      </c>
      <c r="N101" s="25" t="s">
        <v>511</v>
      </c>
      <c r="O101" s="24">
        <v>6</v>
      </c>
      <c r="P101" s="24"/>
      <c r="Q101" s="24"/>
      <c r="R101" s="24">
        <v>4</v>
      </c>
      <c r="S101" s="24"/>
      <c r="T101" s="16"/>
      <c r="U101" s="24"/>
      <c r="V101" s="24"/>
      <c r="W101" s="24" t="s">
        <v>162</v>
      </c>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7"/>
      <c r="AV101" s="17"/>
      <c r="AW101" s="17"/>
      <c r="AX101" s="17"/>
      <c r="AY101" s="17"/>
      <c r="AZ101" s="17"/>
      <c r="BA101" s="17"/>
      <c r="BB101" s="17"/>
      <c r="BC101" s="17"/>
      <c r="BD101" s="17"/>
      <c r="BE101" s="17"/>
      <c r="BF101" s="17"/>
      <c r="BG101" s="17"/>
      <c r="BH101" s="29"/>
      <c r="BI101" s="29"/>
    </row>
    <row r="102" spans="1:61" customFormat="1" ht="100" customHeight="1" x14ac:dyDescent="0.35">
      <c r="A102" s="21" t="str">
        <f t="shared" si="3"/>
        <v>100: Technology / science | Data center | NONTARGET</v>
      </c>
      <c r="B102" s="24">
        <v>100</v>
      </c>
      <c r="C102" s="25" t="s">
        <v>512</v>
      </c>
      <c r="D102" s="25" t="s">
        <v>513</v>
      </c>
      <c r="E102" s="25" t="s">
        <v>514</v>
      </c>
      <c r="F102" s="24">
        <v>0</v>
      </c>
      <c r="G102" s="24">
        <v>0</v>
      </c>
      <c r="H102" s="26">
        <v>0</v>
      </c>
      <c r="I102" s="26">
        <v>0</v>
      </c>
      <c r="J102" s="26">
        <v>0</v>
      </c>
      <c r="K102" s="27" t="s">
        <v>515</v>
      </c>
      <c r="L102" s="27" t="s">
        <v>516</v>
      </c>
      <c r="M102" s="27" t="s">
        <v>403</v>
      </c>
      <c r="N102" s="37"/>
      <c r="O102" s="24"/>
      <c r="P102" s="24"/>
      <c r="Q102" s="24"/>
      <c r="R102" s="24">
        <v>6</v>
      </c>
      <c r="S102" s="24"/>
      <c r="T102" s="16"/>
      <c r="U102" s="24"/>
      <c r="V102" s="24" t="s">
        <v>161</v>
      </c>
      <c r="W102" s="24"/>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7"/>
      <c r="AV102" s="17"/>
      <c r="AW102" s="17"/>
      <c r="AX102" s="17"/>
      <c r="AY102" s="17"/>
      <c r="AZ102" s="17"/>
      <c r="BA102" s="17"/>
      <c r="BB102" s="17"/>
      <c r="BC102" s="17"/>
      <c r="BD102" s="17"/>
      <c r="BE102" s="17"/>
      <c r="BF102" s="17"/>
      <c r="BG102" s="17"/>
      <c r="BH102" s="29"/>
      <c r="BI102" s="29"/>
    </row>
    <row r="103" spans="1:61" customFormat="1" ht="100" customHeight="1" x14ac:dyDescent="0.35">
      <c r="A103" s="21" t="str">
        <f t="shared" si="3"/>
        <v xml:space="preserve">101: Technology / science | Laboratory | </v>
      </c>
      <c r="B103" s="24">
        <v>101</v>
      </c>
      <c r="C103" s="25" t="s">
        <v>512</v>
      </c>
      <c r="D103" s="25" t="s">
        <v>517</v>
      </c>
      <c r="E103" s="25"/>
      <c r="F103" s="24">
        <v>180</v>
      </c>
      <c r="G103" s="24">
        <v>188</v>
      </c>
      <c r="H103" s="26">
        <v>1</v>
      </c>
      <c r="I103" s="26">
        <v>1</v>
      </c>
      <c r="J103" s="26">
        <v>1</v>
      </c>
      <c r="K103" s="27" t="s">
        <v>518</v>
      </c>
      <c r="L103" s="27" t="s">
        <v>519</v>
      </c>
      <c r="M103" s="27" t="str">
        <f>IFERROR(VLOOKUP($O103,Lookups!$AA$3:$AB$14,2,FALSE),"")&amp;" "&amp;IFERROR(VLOOKUP($P103,Lookups!$AA$3:$AB$14,2,FALSE),"")</f>
        <v xml:space="preserve">The weekly hours are the total number of hours per week where the majority of workers are present. If there are two or more shifts of workers, add the hours.  </v>
      </c>
      <c r="N103" s="16"/>
      <c r="O103" s="24">
        <v>3</v>
      </c>
      <c r="P103" s="24"/>
      <c r="Q103" s="24"/>
      <c r="R103" s="24">
        <v>8</v>
      </c>
      <c r="S103" s="24"/>
      <c r="T103" s="16"/>
      <c r="U103" s="24"/>
      <c r="V103" s="24"/>
      <c r="W103" s="24"/>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7"/>
      <c r="AV103" s="17"/>
      <c r="AW103" s="17"/>
      <c r="AX103" s="17"/>
      <c r="AY103" s="17"/>
      <c r="AZ103" s="17"/>
      <c r="BA103" s="17"/>
      <c r="BB103" s="17"/>
      <c r="BC103" s="17"/>
      <c r="BD103" s="17"/>
      <c r="BE103" s="17"/>
      <c r="BF103" s="17"/>
      <c r="BG103" s="17"/>
      <c r="BH103" s="29"/>
      <c r="BI103" s="29"/>
    </row>
    <row r="104" spans="1:61" customFormat="1" ht="100" customHeight="1" x14ac:dyDescent="0.35">
      <c r="A104" s="21" t="str">
        <f t="shared" si="3"/>
        <v xml:space="preserve">102: Technology / science | Other service | </v>
      </c>
      <c r="B104" s="24">
        <v>102</v>
      </c>
      <c r="C104" s="25" t="s">
        <v>512</v>
      </c>
      <c r="D104" s="25" t="s">
        <v>520</v>
      </c>
      <c r="E104" s="25"/>
      <c r="F104" s="24">
        <v>48</v>
      </c>
      <c r="G104" s="24">
        <v>51</v>
      </c>
      <c r="H104" s="26">
        <v>0.8</v>
      </c>
      <c r="I104" s="26">
        <v>1.2</v>
      </c>
      <c r="J104" s="26">
        <v>1.3</v>
      </c>
      <c r="K104" s="27" t="s">
        <v>521</v>
      </c>
      <c r="L104" s="27" t="s">
        <v>522</v>
      </c>
      <c r="M104" s="27" t="str">
        <f>IFERROR(VLOOKUP($O104,Lookups!$AA$3:$AB$14,2,FALSE),"")&amp;" "&amp;IFERROR(VLOOKUP($P104,Lookups!$AA$3:$AB$14,2,FALSE),"")</f>
        <v xml:space="preserve">The weekly hours are the total number of hours per week where the majority of workers are present. If there are two or more shifts of workers, add the hours.  </v>
      </c>
      <c r="N104" s="16"/>
      <c r="O104" s="24">
        <v>3</v>
      </c>
      <c r="P104" s="24"/>
      <c r="Q104" s="24"/>
      <c r="R104" s="24"/>
      <c r="S104" s="24"/>
      <c r="T104" s="16"/>
      <c r="U104" s="24"/>
      <c r="V104" s="24"/>
      <c r="W104" s="24"/>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c r="AT104" s="16"/>
      <c r="AU104" s="17"/>
      <c r="AV104" s="17"/>
      <c r="AW104" s="17"/>
      <c r="AX104" s="17"/>
      <c r="AY104" s="17"/>
      <c r="AZ104" s="17"/>
      <c r="BA104" s="17"/>
      <c r="BB104" s="17"/>
      <c r="BC104" s="17"/>
      <c r="BD104" s="17"/>
      <c r="BE104" s="17"/>
      <c r="BF104" s="17"/>
      <c r="BG104" s="17"/>
      <c r="BH104" s="29"/>
      <c r="BI104" s="29"/>
    </row>
    <row r="105" spans="1:61" customFormat="1" ht="100" customHeight="1" x14ac:dyDescent="0.35">
      <c r="A105" s="21" t="str">
        <f t="shared" si="3"/>
        <v>103: Services | Personal services | Health / beauty, dry cleaning, etc.</v>
      </c>
      <c r="B105" s="24">
        <v>103</v>
      </c>
      <c r="C105" s="25" t="s">
        <v>523</v>
      </c>
      <c r="D105" s="25" t="s">
        <v>524</v>
      </c>
      <c r="E105" s="25" t="s">
        <v>525</v>
      </c>
      <c r="F105" s="24">
        <v>48</v>
      </c>
      <c r="G105" s="24">
        <v>51</v>
      </c>
      <c r="H105" s="26">
        <v>0.8</v>
      </c>
      <c r="I105" s="26">
        <v>1.2</v>
      </c>
      <c r="J105" s="26">
        <v>1.3</v>
      </c>
      <c r="K105" s="27" t="s">
        <v>526</v>
      </c>
      <c r="L105" s="27" t="s">
        <v>527</v>
      </c>
      <c r="M105" s="27" t="str">
        <f>IFERROR(VLOOKUP($O105,Lookups!$AA$3:$AB$14,2,FALSE),"")&amp;" "&amp;IFERROR(VLOOKUP($P105,Lookups!$AA$3:$AB$14,2,FALSE),"")</f>
        <v xml:space="preserve">The weekly hours are the hours that the majority of the building is open to serve the public. </v>
      </c>
      <c r="N105" s="16"/>
      <c r="O105" s="24">
        <v>4</v>
      </c>
      <c r="P105" s="24"/>
      <c r="Q105" s="24"/>
      <c r="R105" s="24"/>
      <c r="S105" s="24"/>
      <c r="T105" s="16"/>
      <c r="U105" s="24"/>
      <c r="V105" s="24"/>
      <c r="W105" s="24"/>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7"/>
      <c r="AV105" s="17"/>
      <c r="AW105" s="17"/>
      <c r="AX105" s="17"/>
      <c r="AY105" s="17"/>
      <c r="AZ105" s="17"/>
      <c r="BA105" s="17"/>
      <c r="BB105" s="17"/>
      <c r="BC105" s="17"/>
      <c r="BD105" s="17"/>
      <c r="BE105" s="17"/>
      <c r="BF105" s="17"/>
      <c r="BG105" s="17"/>
      <c r="BH105" s="29"/>
      <c r="BI105" s="29"/>
    </row>
    <row r="106" spans="1:61" customFormat="1" ht="100" customHeight="1" x14ac:dyDescent="0.35">
      <c r="A106" s="21" t="str">
        <f t="shared" si="3"/>
        <v>104: Services | Repair services | Repair shop</v>
      </c>
      <c r="B106" s="24">
        <v>104</v>
      </c>
      <c r="C106" s="25" t="s">
        <v>523</v>
      </c>
      <c r="D106" s="25" t="s">
        <v>528</v>
      </c>
      <c r="E106" s="25" t="s">
        <v>529</v>
      </c>
      <c r="F106" s="24">
        <v>45</v>
      </c>
      <c r="G106" s="24">
        <v>48</v>
      </c>
      <c r="H106" s="26">
        <v>0.8</v>
      </c>
      <c r="I106" s="26">
        <v>1.2</v>
      </c>
      <c r="J106" s="26">
        <v>1.3</v>
      </c>
      <c r="K106" s="27" t="s">
        <v>530</v>
      </c>
      <c r="L106" s="27" t="s">
        <v>531</v>
      </c>
      <c r="M106" s="27" t="str">
        <f>IFERROR(VLOOKUP($O106,Lookups!$AA$3:$AB$14,2,FALSE),"")&amp;" "&amp;IFERROR(VLOOKUP($P106,Lookups!$AA$3:$AB$14,2,FALSE),"")</f>
        <v xml:space="preserve">The weekly hours are the hours that the majority of the building is open to serve the public. </v>
      </c>
      <c r="N106" s="16"/>
      <c r="O106" s="24">
        <v>4</v>
      </c>
      <c r="P106" s="24"/>
      <c r="Q106" s="24"/>
      <c r="R106" s="24"/>
      <c r="S106" s="24"/>
      <c r="T106" s="16"/>
      <c r="U106" s="24"/>
      <c r="V106" s="24"/>
      <c r="W106" s="24"/>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7"/>
      <c r="AV106" s="17"/>
      <c r="AW106" s="17"/>
      <c r="AX106" s="17"/>
      <c r="AY106" s="17"/>
      <c r="AZ106" s="17"/>
      <c r="BA106" s="17"/>
      <c r="BB106" s="17"/>
      <c r="BC106" s="17"/>
      <c r="BD106" s="17"/>
      <c r="BE106" s="17"/>
      <c r="BF106" s="17"/>
      <c r="BG106" s="17"/>
      <c r="BH106" s="29"/>
      <c r="BI106" s="29"/>
    </row>
    <row r="107" spans="1:61" customFormat="1" ht="100" customHeight="1" x14ac:dyDescent="0.35">
      <c r="A107" s="21" t="str">
        <f t="shared" si="3"/>
        <v>105: Services | Repair services | Vehicle service / repair shop</v>
      </c>
      <c r="B107" s="24">
        <v>105</v>
      </c>
      <c r="C107" s="25" t="s">
        <v>523</v>
      </c>
      <c r="D107" s="25" t="s">
        <v>528</v>
      </c>
      <c r="E107" s="25" t="s">
        <v>532</v>
      </c>
      <c r="F107" s="24">
        <v>46</v>
      </c>
      <c r="G107" s="24">
        <v>49</v>
      </c>
      <c r="H107" s="26">
        <v>0.8</v>
      </c>
      <c r="I107" s="26">
        <v>1.2</v>
      </c>
      <c r="J107" s="26">
        <v>1.3</v>
      </c>
      <c r="K107" s="27" t="s">
        <v>533</v>
      </c>
      <c r="L107" s="27" t="s">
        <v>531</v>
      </c>
      <c r="M107" s="27" t="str">
        <f>IFERROR(VLOOKUP($O107,Lookups!$AA$3:$AB$14,2,FALSE),"")&amp;" "&amp;IFERROR(VLOOKUP($P107,Lookups!$AA$3:$AB$14,2,FALSE),"")</f>
        <v xml:space="preserve">The weekly hours are the hours that the majority of the building is open to serve the public. </v>
      </c>
      <c r="N107" s="16"/>
      <c r="O107" s="24">
        <v>4</v>
      </c>
      <c r="P107" s="24"/>
      <c r="Q107" s="24"/>
      <c r="R107" s="24"/>
      <c r="S107" s="24"/>
      <c r="T107" s="16"/>
      <c r="U107" s="24"/>
      <c r="V107" s="24"/>
      <c r="W107" s="24"/>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7"/>
      <c r="AV107" s="17"/>
      <c r="AW107" s="17"/>
      <c r="AX107" s="17"/>
      <c r="AY107" s="17"/>
      <c r="AZ107" s="17"/>
      <c r="BA107" s="17"/>
      <c r="BB107" s="17"/>
      <c r="BC107" s="17"/>
      <c r="BD107" s="17"/>
      <c r="BE107" s="17"/>
      <c r="BF107" s="17"/>
      <c r="BG107" s="17"/>
      <c r="BH107" s="29"/>
      <c r="BI107" s="29"/>
    </row>
    <row r="108" spans="1:61" customFormat="1" ht="100" customHeight="1" x14ac:dyDescent="0.35">
      <c r="A108" s="21" t="str">
        <f t="shared" si="3"/>
        <v>106: Services | Repair services | Vehicle storage / maintenance</v>
      </c>
      <c r="B108" s="24">
        <v>106</v>
      </c>
      <c r="C108" s="25" t="s">
        <v>523</v>
      </c>
      <c r="D108" s="25" t="s">
        <v>528</v>
      </c>
      <c r="E108" s="25" t="s">
        <v>534</v>
      </c>
      <c r="F108" s="24">
        <v>33</v>
      </c>
      <c r="G108" s="24">
        <v>35</v>
      </c>
      <c r="H108" s="26">
        <v>0.8</v>
      </c>
      <c r="I108" s="26">
        <v>1.2</v>
      </c>
      <c r="J108" s="26">
        <v>1.3</v>
      </c>
      <c r="K108" s="27" t="s">
        <v>535</v>
      </c>
      <c r="L108" s="27" t="s">
        <v>536</v>
      </c>
      <c r="M108" s="27" t="str">
        <f>IFERROR(VLOOKUP($O108,Lookups!$AA$3:$AB$14,2,FALSE),"")&amp;" "&amp;IFERROR(VLOOKUP($P108,Lookups!$AA$3:$AB$14,2,FALSE),"")</f>
        <v xml:space="preserve">The weekly hours are the hours that the majority of the building is open to serve the public. </v>
      </c>
      <c r="N108" s="16"/>
      <c r="O108" s="24">
        <v>4</v>
      </c>
      <c r="P108" s="24"/>
      <c r="Q108" s="24"/>
      <c r="R108" s="24"/>
      <c r="S108" s="24"/>
      <c r="T108" s="16"/>
      <c r="U108" s="24"/>
      <c r="V108" s="24"/>
      <c r="W108" s="24"/>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c r="AT108" s="16"/>
      <c r="AU108" s="17"/>
      <c r="AV108" s="17"/>
      <c r="AW108" s="17"/>
      <c r="AX108" s="17"/>
      <c r="AY108" s="17"/>
      <c r="AZ108" s="17"/>
      <c r="BA108" s="17"/>
      <c r="BB108" s="17"/>
      <c r="BC108" s="17"/>
      <c r="BD108" s="17"/>
      <c r="BE108" s="17"/>
      <c r="BF108" s="17"/>
      <c r="BG108" s="17"/>
      <c r="BH108" s="29"/>
      <c r="BI108" s="29"/>
    </row>
    <row r="109" spans="1:61" customFormat="1" ht="100" customHeight="1" x14ac:dyDescent="0.35">
      <c r="A109" s="21" t="str">
        <f t="shared" si="3"/>
        <v xml:space="preserve">107: Services | Other-services | </v>
      </c>
      <c r="B109" s="24">
        <v>107</v>
      </c>
      <c r="C109" s="25" t="s">
        <v>523</v>
      </c>
      <c r="D109" s="25" t="s">
        <v>537</v>
      </c>
      <c r="E109" s="25"/>
      <c r="F109" s="24">
        <v>48</v>
      </c>
      <c r="G109" s="24">
        <v>51</v>
      </c>
      <c r="H109" s="26">
        <v>0.8</v>
      </c>
      <c r="I109" s="26">
        <v>1.2</v>
      </c>
      <c r="J109" s="26">
        <v>1.3</v>
      </c>
      <c r="K109" s="27" t="s">
        <v>538</v>
      </c>
      <c r="L109" s="27" t="s">
        <v>527</v>
      </c>
      <c r="M109" s="27" t="str">
        <f>IFERROR(VLOOKUP($O109,Lookups!$AA$3:$AB$14,2,FALSE),"")&amp;" "&amp;IFERROR(VLOOKUP($P109,Lookups!$AA$3:$AB$14,2,FALSE),"")</f>
        <v xml:space="preserve">The weekly hours are the hours that the majority of the building is open to serve the public. </v>
      </c>
      <c r="N109" s="16"/>
      <c r="O109" s="24">
        <v>4</v>
      </c>
      <c r="P109" s="24"/>
      <c r="Q109" s="24"/>
      <c r="R109" s="24"/>
      <c r="S109" s="24"/>
      <c r="T109" s="16"/>
      <c r="U109" s="24"/>
      <c r="V109" s="24"/>
      <c r="W109" s="24"/>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7"/>
      <c r="AV109" s="17"/>
      <c r="AW109" s="17"/>
      <c r="AX109" s="17"/>
      <c r="AY109" s="17"/>
      <c r="AZ109" s="17"/>
      <c r="BA109" s="17"/>
      <c r="BB109" s="17"/>
      <c r="BC109" s="17"/>
      <c r="BD109" s="17"/>
      <c r="BE109" s="17"/>
      <c r="BF109" s="17"/>
      <c r="BG109" s="17"/>
      <c r="BH109" s="29"/>
      <c r="BI109" s="29"/>
    </row>
    <row r="110" spans="1:61" customFormat="1" ht="100" customHeight="1" x14ac:dyDescent="0.35">
      <c r="A110" s="21" t="str">
        <f t="shared" si="3"/>
        <v>108: Utility | Energy / power station | NONTARGET</v>
      </c>
      <c r="B110" s="24">
        <v>108</v>
      </c>
      <c r="C110" s="25" t="s">
        <v>539</v>
      </c>
      <c r="D110" s="25" t="s">
        <v>540</v>
      </c>
      <c r="E110" s="25" t="s">
        <v>514</v>
      </c>
      <c r="F110" s="24"/>
      <c r="G110" s="24"/>
      <c r="H110" s="26"/>
      <c r="I110" s="26"/>
      <c r="J110" s="26"/>
      <c r="K110" s="27" t="s">
        <v>541</v>
      </c>
      <c r="L110" s="27" t="s">
        <v>542</v>
      </c>
      <c r="M110" s="27" t="s">
        <v>403</v>
      </c>
      <c r="N110" s="25"/>
      <c r="O110" s="24"/>
      <c r="P110" s="24"/>
      <c r="Q110" s="24"/>
      <c r="R110" s="24">
        <v>7</v>
      </c>
      <c r="S110" s="24"/>
      <c r="T110" s="16"/>
      <c r="U110" s="24"/>
      <c r="V110" s="24" t="s">
        <v>161</v>
      </c>
      <c r="W110" s="24"/>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7"/>
      <c r="AV110" s="17"/>
      <c r="AW110" s="17"/>
      <c r="AX110" s="17"/>
      <c r="AY110" s="17"/>
      <c r="AZ110" s="17"/>
      <c r="BA110" s="17"/>
      <c r="BB110" s="17"/>
      <c r="BC110" s="17"/>
      <c r="BD110" s="17"/>
      <c r="BE110" s="17"/>
      <c r="BF110" s="17"/>
      <c r="BG110" s="17"/>
      <c r="BH110" s="29"/>
      <c r="BI110" s="29"/>
    </row>
    <row r="111" spans="1:61" customFormat="1" ht="100" customHeight="1" x14ac:dyDescent="0.35">
      <c r="A111" s="21" t="str">
        <f t="shared" si="3"/>
        <v>109: Utility | Other - utility | NONTARGET</v>
      </c>
      <c r="B111" s="24">
        <v>109</v>
      </c>
      <c r="C111" s="25" t="s">
        <v>539</v>
      </c>
      <c r="D111" s="25" t="s">
        <v>543</v>
      </c>
      <c r="E111" s="25" t="s">
        <v>514</v>
      </c>
      <c r="F111" s="24"/>
      <c r="G111" s="24"/>
      <c r="H111" s="26"/>
      <c r="I111" s="26"/>
      <c r="J111" s="26"/>
      <c r="K111" s="27" t="s">
        <v>544</v>
      </c>
      <c r="L111" s="27" t="s">
        <v>545</v>
      </c>
      <c r="M111" s="27" t="s">
        <v>403</v>
      </c>
      <c r="N111" s="25"/>
      <c r="O111" s="24"/>
      <c r="P111" s="24"/>
      <c r="Q111" s="24"/>
      <c r="R111" s="24">
        <v>7</v>
      </c>
      <c r="S111" s="24"/>
      <c r="T111" s="16"/>
      <c r="U111" s="24"/>
      <c r="V111" s="24" t="s">
        <v>161</v>
      </c>
      <c r="W111" s="24"/>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7"/>
      <c r="AV111" s="17"/>
      <c r="AW111" s="17"/>
      <c r="AX111" s="17"/>
      <c r="AY111" s="17"/>
      <c r="AZ111" s="17"/>
      <c r="BA111" s="17"/>
      <c r="BB111" s="17"/>
      <c r="BC111" s="17"/>
      <c r="BD111" s="17"/>
      <c r="BE111" s="17"/>
      <c r="BF111" s="17"/>
      <c r="BG111" s="17"/>
      <c r="BH111" s="29"/>
      <c r="BI111" s="29"/>
    </row>
    <row r="112" spans="1:61" customFormat="1" ht="100" customHeight="1" x14ac:dyDescent="0.35">
      <c r="A112" s="21" t="str">
        <f t="shared" si="3"/>
        <v xml:space="preserve">110: Warehouse / storage | Self-storage facility | </v>
      </c>
      <c r="B112" s="24">
        <v>110</v>
      </c>
      <c r="C112" s="25" t="s">
        <v>546</v>
      </c>
      <c r="D112" s="25" t="s">
        <v>547</v>
      </c>
      <c r="E112" s="25"/>
      <c r="F112" s="24">
        <v>23</v>
      </c>
      <c r="G112" s="24">
        <v>29</v>
      </c>
      <c r="H112" s="26">
        <v>0.8</v>
      </c>
      <c r="I112" s="26">
        <v>1</v>
      </c>
      <c r="J112" s="26">
        <v>1.4</v>
      </c>
      <c r="K112" s="27" t="s">
        <v>548</v>
      </c>
      <c r="L112" s="27" t="s">
        <v>549</v>
      </c>
      <c r="M112" s="27" t="str">
        <f>IFERROR(VLOOKUP($O112,Lookups!$AA$3:$AB$14,2,FALSE),"")&amp;" "&amp;IFERROR(VLOOKUP($P112,Lookups!$AA$3:$AB$14,2,FALSE),"")</f>
        <v xml:space="preserve">The weekly hours are the hours that the majority of the building is open to serve the public. </v>
      </c>
      <c r="N112" s="16"/>
      <c r="O112" s="24">
        <v>4</v>
      </c>
      <c r="P112" s="24"/>
      <c r="Q112" s="24"/>
      <c r="R112" s="24"/>
      <c r="S112" s="24"/>
      <c r="T112" s="16"/>
      <c r="U112" s="24"/>
      <c r="V112" s="24"/>
      <c r="W112" s="24"/>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c r="AT112" s="16"/>
      <c r="AU112" s="17"/>
      <c r="AV112" s="17"/>
      <c r="AW112" s="17"/>
      <c r="AX112" s="17"/>
      <c r="AY112" s="17"/>
      <c r="AZ112" s="17"/>
      <c r="BA112" s="17"/>
      <c r="BB112" s="17"/>
      <c r="BC112" s="17"/>
      <c r="BD112" s="17"/>
      <c r="BE112" s="17"/>
      <c r="BF112" s="17"/>
      <c r="BG112" s="17"/>
      <c r="BH112" s="29"/>
      <c r="BI112" s="29"/>
    </row>
    <row r="113" spans="1:61" customFormat="1" ht="100" customHeight="1" x14ac:dyDescent="0.35">
      <c r="A113" s="21" t="str">
        <f t="shared" si="3"/>
        <v xml:space="preserve">111: Warehouse / storage | Distribution center | </v>
      </c>
      <c r="B113" s="24">
        <v>111</v>
      </c>
      <c r="C113" s="25" t="s">
        <v>546</v>
      </c>
      <c r="D113" s="25" t="s">
        <v>550</v>
      </c>
      <c r="E113" s="25"/>
      <c r="F113" s="24">
        <v>25</v>
      </c>
      <c r="G113" s="24">
        <v>34</v>
      </c>
      <c r="H113" s="26">
        <v>0.8</v>
      </c>
      <c r="I113" s="26">
        <v>1</v>
      </c>
      <c r="J113" s="26">
        <v>1.4</v>
      </c>
      <c r="K113" s="27" t="s">
        <v>551</v>
      </c>
      <c r="L113" s="27" t="s">
        <v>552</v>
      </c>
      <c r="M113" s="27" t="str">
        <f>IFERROR(VLOOKUP($O113,Lookups!$AA$3:$AB$14,2,FALSE),"")&amp;" "&amp;IFERROR(VLOOKUP($P113,Lookups!$AA$3:$AB$14,2,FALSE),"")</f>
        <v xml:space="preserve">The weekly hours are the total number of hours per week where the majority of workers are present. If there are two or more shifts of workers, add the hours.  </v>
      </c>
      <c r="N113" s="16"/>
      <c r="O113" s="24">
        <v>3</v>
      </c>
      <c r="P113" s="24"/>
      <c r="Q113" s="24"/>
      <c r="R113" s="24"/>
      <c r="S113" s="24"/>
      <c r="T113" s="16"/>
      <c r="U113" s="24"/>
      <c r="V113" s="24"/>
      <c r="W113" s="24"/>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7"/>
      <c r="AV113" s="17"/>
      <c r="AW113" s="17"/>
      <c r="AX113" s="17"/>
      <c r="AY113" s="17"/>
      <c r="AZ113" s="17"/>
      <c r="BA113" s="17"/>
      <c r="BB113" s="17"/>
      <c r="BC113" s="17"/>
      <c r="BD113" s="17"/>
      <c r="BE113" s="17"/>
      <c r="BF113" s="17"/>
      <c r="BG113" s="17"/>
      <c r="BH113" s="29"/>
      <c r="BI113" s="29"/>
    </row>
    <row r="114" spans="1:61" customFormat="1" ht="100" customHeight="1" x14ac:dyDescent="0.35">
      <c r="A114" s="21" t="str">
        <f t="shared" si="3"/>
        <v xml:space="preserve">112: Warehouse / storage | Nonrefrigerated warehouse | </v>
      </c>
      <c r="B114" s="24">
        <v>112</v>
      </c>
      <c r="C114" s="25" t="s">
        <v>546</v>
      </c>
      <c r="D114" s="25" t="s">
        <v>553</v>
      </c>
      <c r="E114" s="25"/>
      <c r="F114" s="24">
        <v>23</v>
      </c>
      <c r="G114" s="24">
        <v>29</v>
      </c>
      <c r="H114" s="26">
        <v>0.8</v>
      </c>
      <c r="I114" s="26">
        <v>1</v>
      </c>
      <c r="J114" s="26">
        <v>1.4</v>
      </c>
      <c r="K114" s="27" t="s">
        <v>554</v>
      </c>
      <c r="L114" s="27" t="s">
        <v>555</v>
      </c>
      <c r="M114" s="27" t="str">
        <f>IFERROR(VLOOKUP($O114,Lookups!$AA$3:$AB$14,2,FALSE),"")&amp;" "&amp;IFERROR(VLOOKUP($P114,Lookups!$AA$3:$AB$14,2,FALSE),"")</f>
        <v xml:space="preserve">The weekly hours are the total number of hours per week where the majority of workers are present. If there are two or more shifts of workers, add the hours.  </v>
      </c>
      <c r="N114" s="16"/>
      <c r="O114" s="24">
        <v>3</v>
      </c>
      <c r="P114" s="24"/>
      <c r="Q114" s="24"/>
      <c r="R114" s="24"/>
      <c r="S114" s="24"/>
      <c r="T114" s="16"/>
      <c r="U114" s="24"/>
      <c r="V114" s="24"/>
      <c r="W114" s="24"/>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7"/>
      <c r="AV114" s="17"/>
      <c r="AW114" s="17"/>
      <c r="AX114" s="17"/>
      <c r="AY114" s="17"/>
      <c r="AZ114" s="17"/>
      <c r="BA114" s="17"/>
      <c r="BB114" s="17"/>
      <c r="BC114" s="17"/>
      <c r="BD114" s="17"/>
      <c r="BE114" s="17"/>
      <c r="BF114" s="17"/>
      <c r="BG114" s="17"/>
      <c r="BH114" s="29"/>
      <c r="BI114" s="29"/>
    </row>
    <row r="115" spans="1:61" customFormat="1" ht="100" customHeight="1" x14ac:dyDescent="0.35">
      <c r="A115" s="21" t="str">
        <f t="shared" si="3"/>
        <v xml:space="preserve">113: Warehouse / storage | Refrigerated warehouse | </v>
      </c>
      <c r="B115" s="24">
        <v>113</v>
      </c>
      <c r="C115" s="25" t="s">
        <v>546</v>
      </c>
      <c r="D115" s="25" t="s">
        <v>556</v>
      </c>
      <c r="E115" s="25"/>
      <c r="F115" s="24">
        <v>76</v>
      </c>
      <c r="G115" s="24">
        <v>79</v>
      </c>
      <c r="H115" s="26">
        <v>1</v>
      </c>
      <c r="I115" s="26">
        <v>1</v>
      </c>
      <c r="J115" s="26">
        <v>1.4</v>
      </c>
      <c r="K115" s="27" t="s">
        <v>557</v>
      </c>
      <c r="L115" s="27" t="s">
        <v>558</v>
      </c>
      <c r="M115" s="27" t="str">
        <f>IFERROR(VLOOKUP($O115,Lookups!$AA$3:$AB$14,2,FALSE),"")&amp;" "&amp;IFERROR(VLOOKUP($P115,Lookups!$AA$3:$AB$14,2,FALSE),"")</f>
        <v>The weekly hours are the total number of hours per week where the majority of workers are present. If there are two or more shifts of workers, add the hours.  Refrigerated warehouse using greater than 167 hours assumes the workers on shift are loading and/or unloading vehicles.</v>
      </c>
      <c r="N115" s="16"/>
      <c r="O115" s="24">
        <v>3</v>
      </c>
      <c r="P115" s="24">
        <v>8</v>
      </c>
      <c r="Q115" s="24"/>
      <c r="R115" s="24"/>
      <c r="S115" s="24"/>
      <c r="T115" s="16"/>
      <c r="U115" s="24"/>
      <c r="V115" s="24"/>
      <c r="W115" s="24"/>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7"/>
      <c r="AV115" s="17"/>
      <c r="AW115" s="17"/>
      <c r="AX115" s="17"/>
      <c r="AY115" s="17"/>
      <c r="AZ115" s="17"/>
      <c r="BA115" s="17"/>
      <c r="BB115" s="17"/>
      <c r="BC115" s="17"/>
      <c r="BD115" s="17"/>
      <c r="BE115" s="17"/>
      <c r="BF115" s="17"/>
      <c r="BG115" s="17"/>
      <c r="BH115" s="29"/>
      <c r="BI115" s="29"/>
    </row>
    <row r="116" spans="1:61" customFormat="1" ht="52" x14ac:dyDescent="0.35">
      <c r="A116" s="21" t="str">
        <f t="shared" si="3"/>
        <v xml:space="preserve">V: Vacant | Not heated or cooled | </v>
      </c>
      <c r="B116" s="24" t="s">
        <v>559</v>
      </c>
      <c r="C116" s="37" t="s">
        <v>560</v>
      </c>
      <c r="D116" s="25" t="s">
        <v>561</v>
      </c>
      <c r="E116" s="37"/>
      <c r="F116" s="24">
        <v>0</v>
      </c>
      <c r="G116" s="24">
        <v>0</v>
      </c>
      <c r="H116" s="26">
        <v>0</v>
      </c>
      <c r="I116" s="26">
        <v>0</v>
      </c>
      <c r="J116" s="26">
        <v>0</v>
      </c>
      <c r="K116" s="39" t="s">
        <v>562</v>
      </c>
      <c r="L116" s="37" t="s">
        <v>563</v>
      </c>
      <c r="M116" s="37" t="s">
        <v>563</v>
      </c>
      <c r="N116" s="37"/>
      <c r="O116" s="37"/>
      <c r="P116" s="37"/>
      <c r="Q116" s="37"/>
      <c r="R116" s="37"/>
      <c r="S116" s="37"/>
      <c r="T116" s="37"/>
      <c r="U116" s="37"/>
      <c r="V116" s="37"/>
      <c r="W116" s="37"/>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29"/>
      <c r="AV116" s="29"/>
      <c r="AW116" s="29"/>
      <c r="AX116" s="29"/>
      <c r="AY116" s="29"/>
      <c r="AZ116" s="29"/>
      <c r="BA116" s="29"/>
      <c r="BB116" s="29"/>
      <c r="BC116" s="29"/>
      <c r="BD116" s="29"/>
      <c r="BE116" s="29"/>
      <c r="BF116" s="29"/>
      <c r="BG116" s="29"/>
      <c r="BH116" s="29"/>
      <c r="BI116" s="29"/>
    </row>
    <row r="117" spans="1:61" customFormat="1" x14ac:dyDescent="0.35">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16"/>
      <c r="AJ117" s="16"/>
      <c r="AK117" s="16"/>
      <c r="AL117" s="16"/>
      <c r="AM117" s="29"/>
      <c r="AN117" s="29"/>
      <c r="AO117" s="29"/>
      <c r="AP117" s="29"/>
      <c r="AQ117" s="29"/>
      <c r="AR117" s="29"/>
      <c r="AS117" s="29"/>
      <c r="AT117" s="29"/>
      <c r="AU117" s="29"/>
      <c r="AV117" s="29"/>
      <c r="AW117" s="29"/>
      <c r="AX117" s="29"/>
      <c r="AY117" s="29"/>
      <c r="AZ117" s="29"/>
      <c r="BA117" s="29"/>
      <c r="BB117" s="29"/>
      <c r="BC117" s="29"/>
      <c r="BD117" s="29"/>
      <c r="BE117" s="29"/>
      <c r="BF117" s="29"/>
      <c r="BG117" s="29"/>
      <c r="BH117" s="29"/>
      <c r="BI117" s="29"/>
    </row>
    <row r="118" spans="1:61" customFormat="1" x14ac:dyDescent="0.35">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16"/>
      <c r="AJ118" s="16"/>
      <c r="AK118" s="16"/>
      <c r="AL118" s="16"/>
      <c r="AM118" s="29"/>
      <c r="AN118" s="29"/>
      <c r="AO118" s="29"/>
      <c r="AP118" s="29"/>
      <c r="AQ118" s="29"/>
      <c r="AR118" s="29"/>
      <c r="AS118" s="29"/>
      <c r="AT118" s="29"/>
      <c r="AU118" s="29"/>
      <c r="AV118" s="29"/>
      <c r="AW118" s="29"/>
      <c r="AX118" s="29"/>
      <c r="AY118" s="29"/>
      <c r="AZ118" s="29"/>
      <c r="BA118" s="29"/>
      <c r="BB118" s="29"/>
      <c r="BC118" s="29"/>
      <c r="BD118" s="29"/>
      <c r="BE118" s="29"/>
      <c r="BF118" s="29"/>
      <c r="BG118" s="29"/>
      <c r="BH118" s="29"/>
      <c r="BI118" s="29"/>
    </row>
    <row r="119" spans="1:61" customFormat="1" x14ac:dyDescent="0.35">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16"/>
      <c r="AJ119" s="16"/>
      <c r="AK119" s="16"/>
      <c r="AL119" s="16"/>
      <c r="AM119" s="29"/>
      <c r="AN119" s="29"/>
      <c r="AO119" s="29"/>
      <c r="AP119" s="29"/>
      <c r="AQ119" s="29"/>
      <c r="AR119" s="29"/>
      <c r="AS119" s="29"/>
      <c r="AT119" s="29"/>
      <c r="AU119" s="29"/>
      <c r="AV119" s="29"/>
      <c r="AW119" s="29"/>
      <c r="AX119" s="29"/>
      <c r="AY119" s="29"/>
      <c r="AZ119" s="29"/>
      <c r="BA119" s="29"/>
      <c r="BB119" s="29"/>
      <c r="BC119" s="29"/>
      <c r="BD119" s="29"/>
      <c r="BE119" s="29"/>
      <c r="BF119" s="29"/>
      <c r="BG119" s="29"/>
      <c r="BH119" s="29"/>
      <c r="BI119" s="29"/>
    </row>
    <row r="120" spans="1:61" customFormat="1" x14ac:dyDescent="0.35">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16"/>
      <c r="AJ120" s="16"/>
      <c r="AK120" s="16"/>
      <c r="AL120" s="16"/>
      <c r="AM120" s="29"/>
      <c r="AN120" s="29"/>
      <c r="AO120" s="29"/>
      <c r="AP120" s="29"/>
      <c r="AQ120" s="29"/>
      <c r="AR120" s="29"/>
      <c r="AS120" s="29"/>
      <c r="AT120" s="29"/>
      <c r="AU120" s="29"/>
      <c r="AV120" s="29"/>
      <c r="AW120" s="29"/>
      <c r="AX120" s="29"/>
      <c r="AY120" s="29"/>
      <c r="AZ120" s="29"/>
      <c r="BA120" s="29"/>
      <c r="BB120" s="29"/>
      <c r="BC120" s="29"/>
      <c r="BD120" s="29"/>
      <c r="BE120" s="29"/>
      <c r="BF120" s="29"/>
      <c r="BG120" s="29"/>
      <c r="BH120" s="29"/>
      <c r="BI120" s="29"/>
    </row>
    <row r="121" spans="1:61" customFormat="1" x14ac:dyDescent="0.35">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16"/>
      <c r="AJ121" s="16"/>
      <c r="AK121" s="16"/>
      <c r="AL121" s="16"/>
      <c r="AM121" s="29"/>
      <c r="AN121" s="29"/>
      <c r="AO121" s="29"/>
      <c r="AP121" s="29"/>
      <c r="AQ121" s="29"/>
      <c r="AR121" s="29"/>
      <c r="AS121" s="29"/>
      <c r="AT121" s="29"/>
      <c r="AU121" s="29"/>
      <c r="AV121" s="29"/>
      <c r="AW121" s="29"/>
      <c r="AX121" s="29"/>
      <c r="AY121" s="29"/>
      <c r="AZ121" s="29"/>
      <c r="BA121" s="29"/>
      <c r="BB121" s="29"/>
      <c r="BC121" s="29"/>
      <c r="BD121" s="29"/>
      <c r="BE121" s="29"/>
      <c r="BF121" s="29"/>
      <c r="BG121" s="29"/>
      <c r="BH121" s="29"/>
      <c r="BI121" s="29"/>
    </row>
    <row r="122" spans="1:61" customFormat="1" x14ac:dyDescent="0.35">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16"/>
      <c r="AJ122" s="16"/>
      <c r="AK122" s="16"/>
      <c r="AL122" s="16"/>
      <c r="AM122" s="29"/>
      <c r="AN122" s="29"/>
      <c r="AO122" s="29"/>
      <c r="AP122" s="29"/>
      <c r="AQ122" s="29"/>
      <c r="AR122" s="29"/>
      <c r="AS122" s="29"/>
      <c r="AT122" s="29"/>
      <c r="AU122" s="29"/>
      <c r="AV122" s="29"/>
      <c r="AW122" s="29"/>
      <c r="AX122" s="29"/>
      <c r="AY122" s="29"/>
      <c r="AZ122" s="29"/>
      <c r="BA122" s="29"/>
      <c r="BB122" s="29"/>
      <c r="BC122" s="29"/>
      <c r="BD122" s="29"/>
      <c r="BE122" s="29"/>
      <c r="BF122" s="29"/>
      <c r="BG122" s="29"/>
      <c r="BH122" s="29"/>
      <c r="BI122" s="29"/>
    </row>
    <row r="123" spans="1:61" customFormat="1" x14ac:dyDescent="0.35">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F123" s="29"/>
      <c r="AG123" s="29"/>
      <c r="AH123" s="29"/>
      <c r="AI123" s="16"/>
      <c r="AJ123" s="16"/>
      <c r="AK123" s="16"/>
      <c r="AL123" s="16"/>
      <c r="AM123" s="29"/>
      <c r="AN123" s="29"/>
      <c r="AO123" s="29"/>
      <c r="AP123" s="29"/>
      <c r="AQ123" s="29"/>
      <c r="AR123" s="29"/>
      <c r="AS123" s="29"/>
      <c r="AT123" s="29"/>
      <c r="AU123" s="29"/>
      <c r="AV123" s="29"/>
      <c r="AW123" s="29"/>
      <c r="AX123" s="29"/>
      <c r="AY123" s="29"/>
      <c r="AZ123" s="29"/>
      <c r="BA123" s="29"/>
      <c r="BB123" s="29"/>
      <c r="BC123" s="29"/>
      <c r="BD123" s="29"/>
      <c r="BE123" s="29"/>
      <c r="BF123" s="29"/>
      <c r="BG123" s="29"/>
      <c r="BH123" s="29"/>
      <c r="BI123" s="29"/>
    </row>
    <row r="124" spans="1:61" customFormat="1" x14ac:dyDescent="0.35">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16"/>
      <c r="AJ124" s="16"/>
      <c r="AK124" s="16"/>
      <c r="AL124" s="16"/>
      <c r="AM124" s="29"/>
      <c r="AN124" s="29"/>
      <c r="AO124" s="29"/>
      <c r="AP124" s="29"/>
      <c r="AQ124" s="29"/>
      <c r="AR124" s="29"/>
      <c r="AS124" s="29"/>
      <c r="AT124" s="29"/>
      <c r="AU124" s="29"/>
      <c r="AV124" s="29"/>
      <c r="AW124" s="29"/>
      <c r="AX124" s="29"/>
      <c r="AY124" s="29"/>
      <c r="AZ124" s="29"/>
      <c r="BA124" s="29"/>
      <c r="BB124" s="29"/>
      <c r="BC124" s="29"/>
      <c r="BD124" s="29"/>
      <c r="BE124" s="29"/>
      <c r="BF124" s="29"/>
      <c r="BG124" s="29"/>
      <c r="BH124" s="29"/>
      <c r="BI124" s="29"/>
    </row>
    <row r="125" spans="1:61" customFormat="1" x14ac:dyDescent="0.35">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16"/>
      <c r="AJ125" s="16"/>
      <c r="AK125" s="16"/>
      <c r="AL125" s="16"/>
      <c r="AM125" s="29"/>
      <c r="AN125" s="29"/>
      <c r="AO125" s="29"/>
      <c r="AP125" s="29"/>
      <c r="AQ125" s="29"/>
      <c r="AR125" s="29"/>
      <c r="AS125" s="29"/>
      <c r="AT125" s="29"/>
      <c r="AU125" s="29"/>
      <c r="AV125" s="29"/>
      <c r="AW125" s="29"/>
      <c r="AX125" s="29"/>
      <c r="AY125" s="29"/>
      <c r="AZ125" s="29"/>
      <c r="BA125" s="29"/>
      <c r="BB125" s="29"/>
      <c r="BC125" s="29"/>
      <c r="BD125" s="29"/>
      <c r="BE125" s="29"/>
      <c r="BF125" s="29"/>
      <c r="BG125" s="29"/>
      <c r="BH125" s="29"/>
      <c r="BI125" s="29"/>
    </row>
    <row r="126" spans="1:61" customFormat="1" x14ac:dyDescent="0.35">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16"/>
      <c r="AJ126" s="16"/>
      <c r="AK126" s="16"/>
      <c r="AL126" s="16"/>
      <c r="AM126" s="29"/>
      <c r="AN126" s="29"/>
      <c r="AO126" s="29"/>
      <c r="AP126" s="29"/>
      <c r="AQ126" s="29"/>
      <c r="AR126" s="29"/>
      <c r="AS126" s="29"/>
      <c r="AT126" s="29"/>
      <c r="AU126" s="29"/>
      <c r="AV126" s="29"/>
      <c r="AW126" s="29"/>
      <c r="AX126" s="29"/>
      <c r="AY126" s="29"/>
      <c r="AZ126" s="29"/>
      <c r="BA126" s="29"/>
      <c r="BB126" s="29"/>
      <c r="BC126" s="29"/>
      <c r="BD126" s="29"/>
      <c r="BE126" s="29"/>
      <c r="BF126" s="29"/>
      <c r="BG126" s="29"/>
      <c r="BH126" s="29"/>
      <c r="BI126" s="29"/>
    </row>
    <row r="127" spans="1:61" customFormat="1" x14ac:dyDescent="0.35">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16"/>
      <c r="AJ127" s="16"/>
      <c r="AK127" s="16"/>
      <c r="AL127" s="16"/>
      <c r="AM127" s="29"/>
      <c r="AN127" s="29"/>
      <c r="AO127" s="29"/>
      <c r="AP127" s="29"/>
      <c r="AQ127" s="29"/>
      <c r="AR127" s="29"/>
      <c r="AS127" s="29"/>
      <c r="AT127" s="29"/>
      <c r="AU127" s="29"/>
      <c r="AV127" s="29"/>
      <c r="AW127" s="29"/>
      <c r="AX127" s="29"/>
      <c r="AY127" s="29"/>
      <c r="AZ127" s="29"/>
      <c r="BA127" s="29"/>
      <c r="BB127" s="29"/>
      <c r="BC127" s="29"/>
      <c r="BD127" s="29"/>
      <c r="BE127" s="29"/>
      <c r="BF127" s="29"/>
      <c r="BG127" s="29"/>
      <c r="BH127" s="29"/>
      <c r="BI127" s="29"/>
    </row>
    <row r="128" spans="1:61" customFormat="1" x14ac:dyDescent="0.35">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16"/>
      <c r="AJ128" s="16"/>
      <c r="AK128" s="16"/>
      <c r="AL128" s="16"/>
      <c r="AM128" s="29"/>
      <c r="AN128" s="29"/>
      <c r="AO128" s="29"/>
      <c r="AP128" s="29"/>
      <c r="AQ128" s="29"/>
      <c r="AR128" s="29"/>
      <c r="AS128" s="29"/>
      <c r="AT128" s="29"/>
      <c r="AU128" s="29"/>
      <c r="AV128" s="29"/>
      <c r="AW128" s="29"/>
      <c r="AX128" s="29"/>
      <c r="AY128" s="29"/>
      <c r="AZ128" s="29"/>
      <c r="BA128" s="29"/>
      <c r="BB128" s="29"/>
      <c r="BC128" s="29"/>
      <c r="BD128" s="29"/>
      <c r="BE128" s="29"/>
      <c r="BF128" s="29"/>
      <c r="BG128" s="29"/>
      <c r="BH128" s="29"/>
      <c r="BI128" s="29"/>
    </row>
    <row r="129" spans="1:61" customFormat="1" x14ac:dyDescent="0.35">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16"/>
      <c r="AJ129" s="16"/>
      <c r="AK129" s="16"/>
      <c r="AL129" s="16"/>
      <c r="AM129" s="29"/>
      <c r="AN129" s="29"/>
      <c r="AO129" s="29"/>
      <c r="AP129" s="29"/>
      <c r="AQ129" s="29"/>
      <c r="AR129" s="29"/>
      <c r="AS129" s="29"/>
      <c r="AT129" s="29"/>
      <c r="AU129" s="29"/>
      <c r="AV129" s="29"/>
      <c r="AW129" s="29"/>
      <c r="AX129" s="29"/>
      <c r="AY129" s="29"/>
      <c r="AZ129" s="29"/>
      <c r="BA129" s="29"/>
      <c r="BB129" s="29"/>
      <c r="BC129" s="29"/>
      <c r="BD129" s="29"/>
      <c r="BE129" s="29"/>
      <c r="BF129" s="29"/>
      <c r="BG129" s="29"/>
      <c r="BH129" s="29"/>
      <c r="BI129" s="29"/>
    </row>
    <row r="130" spans="1:61" customFormat="1" x14ac:dyDescent="0.35">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16"/>
      <c r="AJ130" s="16"/>
      <c r="AK130" s="16"/>
      <c r="AL130" s="16"/>
      <c r="AM130" s="29"/>
      <c r="AN130" s="29"/>
      <c r="AO130" s="29"/>
      <c r="AP130" s="29"/>
      <c r="AQ130" s="29"/>
      <c r="AR130" s="29"/>
      <c r="AS130" s="29"/>
      <c r="AT130" s="29"/>
      <c r="AU130" s="29"/>
      <c r="AV130" s="29"/>
      <c r="AW130" s="29"/>
      <c r="AX130" s="29"/>
      <c r="AY130" s="29"/>
      <c r="AZ130" s="29"/>
      <c r="BA130" s="29"/>
      <c r="BB130" s="29"/>
      <c r="BC130" s="29"/>
      <c r="BD130" s="29"/>
      <c r="BE130" s="29"/>
      <c r="BF130" s="29"/>
      <c r="BG130" s="29"/>
      <c r="BH130" s="29"/>
      <c r="BI130" s="29"/>
    </row>
    <row r="131" spans="1:61" customFormat="1" x14ac:dyDescent="0.35">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16"/>
      <c r="AJ131" s="16"/>
      <c r="AK131" s="16"/>
      <c r="AL131" s="16"/>
      <c r="AM131" s="29"/>
      <c r="AN131" s="29"/>
      <c r="AO131" s="29"/>
      <c r="AP131" s="29"/>
      <c r="AQ131" s="29"/>
      <c r="AR131" s="29"/>
      <c r="AS131" s="29"/>
      <c r="AT131" s="29"/>
      <c r="AU131" s="29"/>
      <c r="AV131" s="29"/>
      <c r="AW131" s="29"/>
      <c r="AX131" s="29"/>
      <c r="AY131" s="29"/>
      <c r="AZ131" s="29"/>
      <c r="BA131" s="29"/>
      <c r="BB131" s="29"/>
      <c r="BC131" s="29"/>
      <c r="BD131" s="29"/>
      <c r="BE131" s="29"/>
      <c r="BF131" s="29"/>
      <c r="BG131" s="29"/>
      <c r="BH131" s="29"/>
      <c r="BI131" s="29"/>
    </row>
    <row r="132" spans="1:61" customFormat="1" x14ac:dyDescent="0.35">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16"/>
      <c r="AJ132" s="16"/>
      <c r="AK132" s="16"/>
      <c r="AL132" s="16"/>
      <c r="AM132" s="29"/>
      <c r="AN132" s="29"/>
      <c r="AO132" s="29"/>
      <c r="AP132" s="29"/>
      <c r="AQ132" s="29"/>
      <c r="AR132" s="29"/>
      <c r="AS132" s="29"/>
      <c r="AT132" s="29"/>
      <c r="AU132" s="29"/>
      <c r="AV132" s="29"/>
      <c r="AW132" s="29"/>
      <c r="AX132" s="29"/>
      <c r="AY132" s="29"/>
      <c r="AZ132" s="29"/>
      <c r="BA132" s="29"/>
      <c r="BB132" s="29"/>
      <c r="BC132" s="29"/>
      <c r="BD132" s="29"/>
      <c r="BE132" s="29"/>
      <c r="BF132" s="29"/>
      <c r="BG132" s="29"/>
      <c r="BH132" s="29"/>
      <c r="BI132" s="29"/>
    </row>
    <row r="133" spans="1:61" customFormat="1" x14ac:dyDescent="0.35">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16"/>
      <c r="AJ133" s="16"/>
      <c r="AK133" s="16"/>
      <c r="AL133" s="16"/>
      <c r="AM133" s="29"/>
      <c r="AN133" s="29"/>
      <c r="AO133" s="29"/>
      <c r="AP133" s="29"/>
      <c r="AQ133" s="29"/>
      <c r="AR133" s="29"/>
      <c r="AS133" s="29"/>
      <c r="AT133" s="29"/>
      <c r="AU133" s="29"/>
      <c r="AV133" s="29"/>
      <c r="AW133" s="29"/>
      <c r="AX133" s="29"/>
      <c r="AY133" s="29"/>
      <c r="AZ133" s="29"/>
      <c r="BA133" s="29"/>
      <c r="BB133" s="29"/>
      <c r="BC133" s="29"/>
      <c r="BD133" s="29"/>
      <c r="BE133" s="29"/>
      <c r="BF133" s="29"/>
      <c r="BG133" s="29"/>
      <c r="BH133" s="29"/>
      <c r="BI133" s="29"/>
    </row>
    <row r="134" spans="1:61" customFormat="1" x14ac:dyDescent="0.35">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16"/>
      <c r="AJ134" s="16"/>
      <c r="AK134" s="16"/>
      <c r="AL134" s="16"/>
      <c r="AM134" s="29"/>
      <c r="AN134" s="29"/>
      <c r="AO134" s="29"/>
      <c r="AP134" s="29"/>
      <c r="AQ134" s="29"/>
      <c r="AR134" s="29"/>
      <c r="AS134" s="29"/>
      <c r="AT134" s="29"/>
      <c r="AU134" s="29"/>
      <c r="AV134" s="29"/>
      <c r="AW134" s="29"/>
      <c r="AX134" s="29"/>
      <c r="AY134" s="29"/>
      <c r="AZ134" s="29"/>
      <c r="BA134" s="29"/>
      <c r="BB134" s="29"/>
      <c r="BC134" s="29"/>
      <c r="BD134" s="29"/>
      <c r="BE134" s="29"/>
      <c r="BF134" s="29"/>
      <c r="BG134" s="29"/>
      <c r="BH134" s="29"/>
      <c r="BI134" s="29"/>
    </row>
    <row r="135" spans="1:61" customFormat="1" x14ac:dyDescent="0.35">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16"/>
      <c r="AJ135" s="16"/>
      <c r="AK135" s="16"/>
      <c r="AL135" s="16"/>
      <c r="AM135" s="29"/>
      <c r="AN135" s="29"/>
      <c r="AO135" s="29"/>
      <c r="AP135" s="29"/>
      <c r="AQ135" s="29"/>
      <c r="AR135" s="29"/>
      <c r="AS135" s="29"/>
      <c r="AT135" s="29"/>
      <c r="AU135" s="29"/>
      <c r="AV135" s="29"/>
      <c r="AW135" s="29"/>
      <c r="AX135" s="29"/>
      <c r="AY135" s="29"/>
      <c r="AZ135" s="29"/>
      <c r="BA135" s="29"/>
      <c r="BB135" s="29"/>
      <c r="BC135" s="29"/>
      <c r="BD135" s="29"/>
      <c r="BE135" s="29"/>
      <c r="BF135" s="29"/>
      <c r="BG135" s="29"/>
      <c r="BH135" s="29"/>
      <c r="BI135" s="29"/>
    </row>
    <row r="136" spans="1:61" customFormat="1" x14ac:dyDescent="0.35">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16"/>
      <c r="AJ136" s="16"/>
      <c r="AK136" s="16"/>
      <c r="AL136" s="16"/>
      <c r="AM136" s="29"/>
      <c r="AN136" s="29"/>
      <c r="AO136" s="29"/>
      <c r="AP136" s="29"/>
      <c r="AQ136" s="29"/>
      <c r="AR136" s="29"/>
      <c r="AS136" s="29"/>
      <c r="AT136" s="29"/>
      <c r="AU136" s="29"/>
      <c r="AV136" s="29"/>
      <c r="AW136" s="29"/>
      <c r="AX136" s="29"/>
      <c r="AY136" s="29"/>
      <c r="AZ136" s="29"/>
      <c r="BA136" s="29"/>
      <c r="BB136" s="29"/>
      <c r="BC136" s="29"/>
      <c r="BD136" s="29"/>
      <c r="BE136" s="29"/>
      <c r="BF136" s="29"/>
      <c r="BG136" s="29"/>
      <c r="BH136" s="29"/>
      <c r="BI136" s="29"/>
    </row>
    <row r="137" spans="1:61" customFormat="1" x14ac:dyDescent="0.35">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c r="AY137" s="29"/>
      <c r="AZ137" s="29"/>
      <c r="BA137" s="29"/>
      <c r="BB137" s="29"/>
      <c r="BC137" s="29"/>
      <c r="BD137" s="29"/>
      <c r="BE137" s="29"/>
      <c r="BF137" s="29"/>
      <c r="BG137" s="29"/>
      <c r="BH137" s="29"/>
      <c r="BI137" s="29"/>
    </row>
    <row r="138" spans="1:61" customFormat="1" x14ac:dyDescent="0.35">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c r="AY138" s="29"/>
      <c r="AZ138" s="29"/>
      <c r="BA138" s="29"/>
      <c r="BB138" s="29"/>
      <c r="BC138" s="29"/>
      <c r="BD138" s="29"/>
      <c r="BE138" s="29"/>
      <c r="BF138" s="29"/>
      <c r="BG138" s="29"/>
      <c r="BH138" s="29"/>
      <c r="BI138" s="29"/>
    </row>
    <row r="139" spans="1:61" customFormat="1" x14ac:dyDescent="0.35">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c r="AF139" s="29"/>
      <c r="AG139" s="29"/>
      <c r="AH139" s="29"/>
      <c r="AI139" s="29"/>
      <c r="AJ139" s="29"/>
      <c r="AK139" s="29"/>
      <c r="AL139" s="29"/>
      <c r="AM139" s="29"/>
      <c r="AN139" s="29"/>
      <c r="AO139" s="29"/>
      <c r="AP139" s="29"/>
      <c r="AQ139" s="29"/>
      <c r="AR139" s="29"/>
      <c r="AS139" s="29"/>
      <c r="AT139" s="29"/>
      <c r="AU139" s="29"/>
      <c r="AV139" s="29"/>
      <c r="AW139" s="29"/>
      <c r="AX139" s="29"/>
      <c r="AY139" s="29"/>
      <c r="AZ139" s="29"/>
      <c r="BA139" s="29"/>
      <c r="BB139" s="29"/>
      <c r="BC139" s="29"/>
      <c r="BD139" s="29"/>
      <c r="BE139" s="29"/>
      <c r="BF139" s="29"/>
      <c r="BG139" s="29"/>
      <c r="BH139" s="29"/>
      <c r="BI139" s="29"/>
    </row>
    <row r="140" spans="1:61" customFormat="1" x14ac:dyDescent="0.35">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29"/>
      <c r="AW140" s="29"/>
      <c r="AX140" s="29"/>
      <c r="AY140" s="29"/>
      <c r="AZ140" s="29"/>
      <c r="BA140" s="29"/>
      <c r="BB140" s="29"/>
      <c r="BC140" s="29"/>
      <c r="BD140" s="29"/>
      <c r="BE140" s="29"/>
      <c r="BF140" s="29"/>
      <c r="BG140" s="29"/>
      <c r="BH140" s="29"/>
      <c r="BI140" s="29"/>
    </row>
    <row r="141" spans="1:61" customFormat="1" x14ac:dyDescent="0.35">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c r="AZ141" s="29"/>
      <c r="BA141" s="29"/>
      <c r="BB141" s="29"/>
      <c r="BC141" s="29"/>
      <c r="BD141" s="29"/>
      <c r="BE141" s="29"/>
      <c r="BF141" s="29"/>
      <c r="BG141" s="29"/>
      <c r="BH141" s="29"/>
      <c r="BI141" s="29"/>
    </row>
    <row r="142" spans="1:61" customFormat="1" x14ac:dyDescent="0.35">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c r="AU142" s="29"/>
      <c r="AV142" s="29"/>
      <c r="AW142" s="29"/>
      <c r="AX142" s="29"/>
      <c r="AY142" s="29"/>
      <c r="AZ142" s="29"/>
      <c r="BA142" s="29"/>
      <c r="BB142" s="29"/>
      <c r="BC142" s="29"/>
      <c r="BD142" s="29"/>
      <c r="BE142" s="29"/>
      <c r="BF142" s="29"/>
      <c r="BG142" s="29"/>
      <c r="BH142" s="29"/>
      <c r="BI142" s="29"/>
    </row>
    <row r="143" spans="1:61" customFormat="1" x14ac:dyDescent="0.35">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c r="AF143" s="29"/>
      <c r="AG143" s="29"/>
      <c r="AH143" s="29"/>
      <c r="AI143" s="29"/>
      <c r="AJ143" s="29"/>
      <c r="AK143" s="29"/>
      <c r="AL143" s="29"/>
      <c r="AM143" s="29"/>
      <c r="AN143" s="29"/>
      <c r="AO143" s="29"/>
      <c r="AP143" s="29"/>
      <c r="AQ143" s="29"/>
      <c r="AR143" s="29"/>
      <c r="AS143" s="29"/>
      <c r="AT143" s="29"/>
      <c r="AU143" s="29"/>
      <c r="AV143" s="29"/>
      <c r="AW143" s="29"/>
      <c r="AX143" s="29"/>
      <c r="AY143" s="29"/>
      <c r="AZ143" s="29"/>
      <c r="BA143" s="29"/>
      <c r="BB143" s="29"/>
      <c r="BC143" s="29"/>
      <c r="BD143" s="29"/>
      <c r="BE143" s="29"/>
      <c r="BF143" s="29"/>
      <c r="BG143" s="29"/>
      <c r="BH143" s="29"/>
      <c r="BI143" s="29"/>
    </row>
    <row r="144" spans="1:61" customFormat="1" x14ac:dyDescent="0.35">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c r="AY144" s="29"/>
      <c r="AZ144" s="29"/>
      <c r="BA144" s="29"/>
      <c r="BB144" s="29"/>
      <c r="BC144" s="29"/>
      <c r="BD144" s="29"/>
      <c r="BE144" s="29"/>
      <c r="BF144" s="29"/>
      <c r="BG144" s="29"/>
      <c r="BH144" s="29"/>
      <c r="BI144" s="29"/>
    </row>
    <row r="145" spans="1:61" customFormat="1" x14ac:dyDescent="0.35">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c r="AZ145" s="29"/>
      <c r="BA145" s="29"/>
      <c r="BB145" s="29"/>
      <c r="BC145" s="29"/>
      <c r="BD145" s="29"/>
      <c r="BE145" s="29"/>
      <c r="BF145" s="29"/>
      <c r="BG145" s="29"/>
      <c r="BH145" s="29"/>
      <c r="BI145" s="29"/>
    </row>
    <row r="146" spans="1:61" customFormat="1" x14ac:dyDescent="0.35">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c r="AZ146" s="29"/>
      <c r="BA146" s="29"/>
      <c r="BB146" s="29"/>
      <c r="BC146" s="29"/>
      <c r="BD146" s="29"/>
      <c r="BE146" s="29"/>
      <c r="BF146" s="29"/>
      <c r="BG146" s="29"/>
      <c r="BH146" s="29"/>
      <c r="BI146" s="29"/>
    </row>
    <row r="147" spans="1:61" customFormat="1" x14ac:dyDescent="0.35">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29"/>
      <c r="BF147" s="29"/>
      <c r="BG147" s="29"/>
      <c r="BH147" s="29"/>
      <c r="BI147" s="29"/>
    </row>
    <row r="148" spans="1:61" customFormat="1" x14ac:dyDescent="0.35">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29"/>
      <c r="BF148" s="29"/>
      <c r="BG148" s="29"/>
      <c r="BH148" s="29"/>
      <c r="BI148" s="29"/>
    </row>
    <row r="149" spans="1:61" customFormat="1" x14ac:dyDescent="0.35">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c r="AZ149" s="29"/>
      <c r="BA149" s="29"/>
      <c r="BB149" s="29"/>
      <c r="BC149" s="29"/>
      <c r="BD149" s="29"/>
      <c r="BE149" s="29"/>
      <c r="BF149" s="29"/>
      <c r="BG149" s="29"/>
      <c r="BH149" s="29"/>
      <c r="BI149" s="29"/>
    </row>
    <row r="150" spans="1:61" customFormat="1" x14ac:dyDescent="0.35">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c r="AZ150" s="29"/>
      <c r="BA150" s="29"/>
      <c r="BB150" s="29"/>
      <c r="BC150" s="29"/>
      <c r="BD150" s="29"/>
      <c r="BE150" s="29"/>
      <c r="BF150" s="29"/>
      <c r="BG150" s="29"/>
      <c r="BH150" s="29"/>
      <c r="BI150" s="29"/>
    </row>
    <row r="151" spans="1:61" customFormat="1" x14ac:dyDescent="0.35">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c r="AZ151" s="29"/>
      <c r="BA151" s="29"/>
      <c r="BB151" s="29"/>
      <c r="BC151" s="29"/>
      <c r="BD151" s="29"/>
      <c r="BE151" s="29"/>
      <c r="BF151" s="29"/>
      <c r="BG151" s="29"/>
      <c r="BH151" s="29"/>
      <c r="BI151" s="29"/>
    </row>
    <row r="152" spans="1:61" customFormat="1" x14ac:dyDescent="0.35">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c r="AZ152" s="29"/>
      <c r="BA152" s="29"/>
      <c r="BB152" s="29"/>
      <c r="BC152" s="29"/>
      <c r="BD152" s="29"/>
      <c r="BE152" s="29"/>
      <c r="BF152" s="29"/>
      <c r="BG152" s="29"/>
      <c r="BH152" s="29"/>
      <c r="BI152" s="29"/>
    </row>
    <row r="153" spans="1:61" customFormat="1" x14ac:dyDescent="0.35">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c r="AZ153" s="29"/>
      <c r="BA153" s="29"/>
      <c r="BB153" s="29"/>
      <c r="BC153" s="29"/>
      <c r="BD153" s="29"/>
      <c r="BE153" s="29"/>
      <c r="BF153" s="29"/>
      <c r="BG153" s="29"/>
      <c r="BH153" s="29"/>
      <c r="BI153" s="29"/>
    </row>
    <row r="154" spans="1:61" customFormat="1" x14ac:dyDescent="0.35">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c r="BD154" s="29"/>
      <c r="BE154" s="29"/>
      <c r="BF154" s="29"/>
      <c r="BG154" s="29"/>
      <c r="BH154" s="29"/>
      <c r="BI154" s="29"/>
    </row>
    <row r="155" spans="1:61" customFormat="1" x14ac:dyDescent="0.35">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c r="AZ155" s="29"/>
      <c r="BA155" s="29"/>
      <c r="BB155" s="29"/>
      <c r="BC155" s="29"/>
      <c r="BD155" s="29"/>
      <c r="BE155" s="29"/>
      <c r="BF155" s="29"/>
      <c r="BG155" s="29"/>
      <c r="BH155" s="29"/>
      <c r="BI155" s="29"/>
    </row>
    <row r="156" spans="1:61" customFormat="1" x14ac:dyDescent="0.35">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c r="AY156" s="29"/>
      <c r="AZ156" s="29"/>
      <c r="BA156" s="29"/>
      <c r="BB156" s="29"/>
      <c r="BC156" s="29"/>
      <c r="BD156" s="29"/>
      <c r="BE156" s="29"/>
      <c r="BF156" s="29"/>
      <c r="BG156" s="29"/>
      <c r="BH156" s="29"/>
      <c r="BI156" s="29"/>
    </row>
    <row r="157" spans="1:61" customFormat="1" x14ac:dyDescent="0.35">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c r="AX157" s="29"/>
      <c r="AY157" s="29"/>
      <c r="AZ157" s="29"/>
      <c r="BA157" s="29"/>
      <c r="BB157" s="29"/>
      <c r="BC157" s="29"/>
      <c r="BD157" s="29"/>
      <c r="BE157" s="29"/>
      <c r="BF157" s="29"/>
      <c r="BG157" s="29"/>
      <c r="BH157" s="29"/>
      <c r="BI157" s="29"/>
    </row>
    <row r="158" spans="1:61" customFormat="1" x14ac:dyDescent="0.35">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c r="AZ158" s="29"/>
      <c r="BA158" s="29"/>
      <c r="BB158" s="29"/>
      <c r="BC158" s="29"/>
      <c r="BD158" s="29"/>
      <c r="BE158" s="29"/>
      <c r="BF158" s="29"/>
      <c r="BG158" s="29"/>
      <c r="BH158" s="29"/>
      <c r="BI158" s="29"/>
    </row>
    <row r="159" spans="1:61" customFormat="1" x14ac:dyDescent="0.35">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c r="AZ159" s="29"/>
      <c r="BA159" s="29"/>
      <c r="BB159" s="29"/>
      <c r="BC159" s="29"/>
      <c r="BD159" s="29"/>
      <c r="BE159" s="29"/>
      <c r="BF159" s="29"/>
      <c r="BG159" s="29"/>
      <c r="BH159" s="29"/>
      <c r="BI159" s="29"/>
    </row>
    <row r="160" spans="1:61" customFormat="1" x14ac:dyDescent="0.35">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c r="AZ160" s="29"/>
      <c r="BA160" s="29"/>
      <c r="BB160" s="29"/>
      <c r="BC160" s="29"/>
      <c r="BD160" s="29"/>
      <c r="BE160" s="29"/>
      <c r="BF160" s="29"/>
      <c r="BG160" s="29"/>
      <c r="BH160" s="29"/>
      <c r="BI160" s="29"/>
    </row>
    <row r="161" spans="1:56" customFormat="1" x14ac:dyDescent="0.35">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c r="AY161" s="29"/>
      <c r="AZ161" s="29"/>
      <c r="BA161" s="29"/>
      <c r="BB161" s="29"/>
      <c r="BC161" s="29"/>
      <c r="BD161" s="29"/>
    </row>
    <row r="162" spans="1:56" customFormat="1" x14ac:dyDescent="0.35">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c r="AZ162" s="29"/>
      <c r="BA162" s="29"/>
      <c r="BB162" s="29"/>
      <c r="BC162" s="29"/>
      <c r="BD162" s="29"/>
    </row>
    <row r="163" spans="1:56" customFormat="1" x14ac:dyDescent="0.35">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c r="AG163" s="29"/>
      <c r="AH163" s="29"/>
      <c r="AI163" s="29"/>
      <c r="AJ163" s="29"/>
      <c r="AK163" s="29"/>
      <c r="AL163" s="29"/>
      <c r="AM163" s="29"/>
      <c r="AN163" s="29"/>
      <c r="AO163" s="29"/>
      <c r="AP163" s="29"/>
      <c r="AQ163" s="29"/>
      <c r="AR163" s="29"/>
      <c r="AS163" s="29"/>
      <c r="AT163" s="29"/>
      <c r="AU163" s="29"/>
      <c r="AV163" s="29"/>
      <c r="AW163" s="29"/>
      <c r="AX163" s="29"/>
      <c r="AY163" s="29"/>
      <c r="AZ163" s="29"/>
      <c r="BA163" s="29"/>
      <c r="BB163" s="29"/>
      <c r="BC163" s="29"/>
      <c r="BD163" s="29"/>
    </row>
    <row r="164" spans="1:56" customFormat="1" x14ac:dyDescent="0.35">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c r="AY164" s="29"/>
      <c r="AZ164" s="29"/>
      <c r="BA164" s="29"/>
      <c r="BB164" s="29"/>
      <c r="BC164" s="29"/>
      <c r="BD164" s="29"/>
    </row>
    <row r="165" spans="1:56" customFormat="1" x14ac:dyDescent="0.35">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c r="AZ165" s="29"/>
      <c r="BA165" s="29"/>
      <c r="BB165" s="29"/>
      <c r="BC165" s="29"/>
      <c r="BD165" s="29"/>
    </row>
    <row r="166" spans="1:56" customFormat="1" x14ac:dyDescent="0.35">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c r="AZ166" s="29"/>
      <c r="BA166" s="29"/>
      <c r="BB166" s="29"/>
      <c r="BC166" s="29"/>
      <c r="BD166" s="29"/>
    </row>
    <row r="167" spans="1:56" customFormat="1" x14ac:dyDescent="0.35">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c r="AX167" s="29"/>
      <c r="AY167" s="29"/>
      <c r="AZ167" s="29"/>
      <c r="BA167" s="29"/>
      <c r="BB167" s="29"/>
      <c r="BC167" s="29"/>
      <c r="BD167" s="29"/>
    </row>
    <row r="168" spans="1:56" customFormat="1" x14ac:dyDescent="0.35">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c r="AZ168" s="29"/>
      <c r="BA168" s="29"/>
      <c r="BB168" s="29"/>
      <c r="BC168" s="29"/>
      <c r="BD168" s="29"/>
    </row>
    <row r="169" spans="1:56" customFormat="1" x14ac:dyDescent="0.35">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c r="AZ169" s="29"/>
      <c r="BA169" s="29"/>
      <c r="BB169" s="29"/>
      <c r="BC169" s="29"/>
      <c r="BD169" s="29"/>
    </row>
    <row r="170" spans="1:56" customFormat="1" x14ac:dyDescent="0.35">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c r="AY170" s="29"/>
      <c r="AZ170" s="29"/>
      <c r="BA170" s="29"/>
      <c r="BB170" s="29"/>
      <c r="BC170" s="29"/>
      <c r="BD170" s="29"/>
    </row>
    <row r="171" spans="1:56" customFormat="1" x14ac:dyDescent="0.35">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c r="AX171" s="29"/>
      <c r="AY171" s="29"/>
      <c r="AZ171" s="29"/>
      <c r="BA171" s="29"/>
      <c r="BB171" s="29"/>
      <c r="BC171" s="29"/>
      <c r="BD171" s="29"/>
    </row>
    <row r="172" spans="1:56" customFormat="1" x14ac:dyDescent="0.35">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29"/>
      <c r="AW172" s="29"/>
      <c r="AX172" s="29"/>
      <c r="AY172" s="29"/>
      <c r="AZ172" s="29"/>
      <c r="BA172" s="29"/>
      <c r="BB172" s="29"/>
      <c r="BC172" s="29"/>
      <c r="BD172" s="29"/>
    </row>
    <row r="173" spans="1:56" customFormat="1" x14ac:dyDescent="0.35">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c r="AZ173" s="29"/>
      <c r="BA173" s="29"/>
      <c r="BB173" s="29"/>
      <c r="BC173" s="29"/>
      <c r="BD173" s="29"/>
    </row>
    <row r="174" spans="1:56" customFormat="1" x14ac:dyDescent="0.35">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29"/>
      <c r="AW174" s="29"/>
      <c r="AX174" s="29"/>
      <c r="AY174" s="29"/>
      <c r="AZ174" s="29"/>
      <c r="BA174" s="29"/>
      <c r="BB174" s="29"/>
      <c r="BC174" s="29"/>
      <c r="BD174" s="29"/>
    </row>
    <row r="175" spans="1:56" customFormat="1" x14ac:dyDescent="0.35">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c r="AX175" s="29"/>
      <c r="AY175" s="29"/>
      <c r="AZ175" s="29"/>
      <c r="BA175" s="29"/>
      <c r="BB175" s="29"/>
      <c r="BC175" s="29"/>
      <c r="BD175" s="29"/>
    </row>
    <row r="176" spans="1:56" customFormat="1" x14ac:dyDescent="0.35">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c r="AZ176" s="29"/>
      <c r="BA176" s="29"/>
      <c r="BB176" s="29"/>
      <c r="BC176" s="29"/>
      <c r="BD176" s="29"/>
    </row>
    <row r="177" spans="1:56" customFormat="1" x14ac:dyDescent="0.35">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c r="AT177" s="29"/>
      <c r="AU177" s="29"/>
      <c r="AV177" s="29"/>
      <c r="AW177" s="29"/>
      <c r="AX177" s="29"/>
      <c r="AY177" s="29"/>
      <c r="AZ177" s="29"/>
      <c r="BA177" s="29"/>
      <c r="BB177" s="29"/>
      <c r="BC177" s="29"/>
      <c r="BD177" s="29"/>
    </row>
    <row r="178" spans="1:56" customFormat="1" x14ac:dyDescent="0.35">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c r="AI178" s="29"/>
      <c r="AJ178" s="29"/>
      <c r="AK178" s="29"/>
      <c r="AL178" s="29"/>
      <c r="AM178" s="29"/>
      <c r="AN178" s="29"/>
      <c r="AO178" s="29"/>
      <c r="AP178" s="29"/>
      <c r="AQ178" s="29"/>
      <c r="AR178" s="29"/>
      <c r="AS178" s="29"/>
      <c r="AT178" s="29"/>
      <c r="AU178" s="29"/>
      <c r="AV178" s="29"/>
      <c r="AW178" s="29"/>
      <c r="AX178" s="29"/>
      <c r="AY178" s="29"/>
      <c r="AZ178" s="29"/>
      <c r="BA178" s="29"/>
      <c r="BB178" s="29"/>
      <c r="BC178" s="29"/>
      <c r="BD178" s="29"/>
    </row>
    <row r="179" spans="1:56" customFormat="1" x14ac:dyDescent="0.35">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c r="AJ179" s="29"/>
      <c r="AK179" s="29"/>
      <c r="AL179" s="29"/>
      <c r="AM179" s="29"/>
      <c r="AN179" s="29"/>
      <c r="AO179" s="29"/>
      <c r="AP179" s="29"/>
      <c r="AQ179" s="29"/>
      <c r="AR179" s="29"/>
      <c r="AS179" s="29"/>
      <c r="AT179" s="29"/>
      <c r="AU179" s="29"/>
      <c r="AV179" s="29"/>
      <c r="AW179" s="29"/>
      <c r="AX179" s="29"/>
      <c r="AY179" s="29"/>
      <c r="AZ179" s="29"/>
      <c r="BA179" s="29"/>
      <c r="BB179" s="29"/>
      <c r="BC179" s="29"/>
      <c r="BD179" s="29"/>
    </row>
    <row r="180" spans="1:56" customFormat="1" x14ac:dyDescent="0.35">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c r="AZ180" s="29"/>
      <c r="BA180" s="29"/>
      <c r="BB180" s="29"/>
      <c r="BC180" s="29"/>
      <c r="BD180" s="29"/>
    </row>
    <row r="181" spans="1:56" customFormat="1" x14ac:dyDescent="0.35">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c r="AH181" s="29"/>
      <c r="AI181" s="29"/>
      <c r="AJ181" s="29"/>
      <c r="AK181" s="29"/>
      <c r="AL181" s="29"/>
      <c r="AM181" s="29"/>
      <c r="AN181" s="29"/>
      <c r="AO181" s="29"/>
      <c r="AP181" s="29"/>
      <c r="AQ181" s="29"/>
      <c r="AR181" s="29"/>
      <c r="AS181" s="29"/>
      <c r="AT181" s="29"/>
      <c r="AU181" s="29"/>
      <c r="AV181" s="29"/>
      <c r="AW181" s="29"/>
      <c r="AX181" s="29"/>
      <c r="AY181" s="29"/>
      <c r="AZ181" s="29"/>
      <c r="BA181" s="29"/>
      <c r="BB181" s="29"/>
      <c r="BC181" s="29"/>
      <c r="BD181" s="29"/>
    </row>
    <row r="182" spans="1:56" customFormat="1" x14ac:dyDescent="0.35">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c r="AH182" s="29"/>
      <c r="AI182" s="29"/>
      <c r="AJ182" s="29"/>
      <c r="AK182" s="29"/>
      <c r="AL182" s="29"/>
      <c r="AM182" s="29"/>
      <c r="AN182" s="29"/>
      <c r="AO182" s="29"/>
      <c r="AP182" s="29"/>
      <c r="AQ182" s="29"/>
      <c r="AR182" s="29"/>
      <c r="AS182" s="29"/>
      <c r="AT182" s="29"/>
      <c r="AU182" s="29"/>
      <c r="AV182" s="29"/>
      <c r="AW182" s="29"/>
      <c r="AX182" s="29"/>
      <c r="AY182" s="29"/>
      <c r="AZ182" s="29"/>
      <c r="BA182" s="29"/>
      <c r="BB182" s="29"/>
      <c r="BC182" s="29"/>
      <c r="BD182" s="29"/>
    </row>
    <row r="183" spans="1:56" customFormat="1" x14ac:dyDescent="0.35">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c r="AH183" s="29"/>
      <c r="AI183" s="29"/>
      <c r="AJ183" s="29"/>
      <c r="AK183" s="29"/>
      <c r="AL183" s="29"/>
      <c r="AM183" s="29"/>
      <c r="AN183" s="29"/>
      <c r="AO183" s="29"/>
      <c r="AP183" s="29"/>
      <c r="AQ183" s="29"/>
      <c r="AR183" s="29"/>
      <c r="AS183" s="29"/>
      <c r="AT183" s="29"/>
      <c r="AU183" s="29"/>
      <c r="AV183" s="29"/>
      <c r="AW183" s="29"/>
      <c r="AX183" s="29"/>
      <c r="AY183" s="29"/>
      <c r="AZ183" s="29"/>
      <c r="BA183" s="29"/>
      <c r="BB183" s="29"/>
      <c r="BC183" s="29"/>
      <c r="BD183" s="29"/>
    </row>
    <row r="184" spans="1:56" customFormat="1" x14ac:dyDescent="0.35">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c r="AG184" s="29"/>
      <c r="AH184" s="29"/>
      <c r="AI184" s="29"/>
      <c r="AJ184" s="29"/>
      <c r="AK184" s="29"/>
      <c r="AL184" s="29"/>
      <c r="AM184" s="29"/>
      <c r="AN184" s="29"/>
      <c r="AO184" s="29"/>
      <c r="AP184" s="29"/>
      <c r="AQ184" s="29"/>
      <c r="AR184" s="29"/>
      <c r="AS184" s="29"/>
      <c r="AT184" s="29"/>
      <c r="AU184" s="29"/>
      <c r="AV184" s="29"/>
      <c r="AW184" s="29"/>
      <c r="AX184" s="29"/>
      <c r="AY184" s="29"/>
      <c r="AZ184" s="29"/>
      <c r="BA184" s="29"/>
      <c r="BB184" s="29"/>
      <c r="BC184" s="29"/>
      <c r="BD184" s="29"/>
    </row>
    <row r="185" spans="1:56" customFormat="1" x14ac:dyDescent="0.35">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29"/>
      <c r="AJ185" s="29"/>
      <c r="AK185" s="29"/>
      <c r="AL185" s="29"/>
      <c r="AM185" s="29"/>
      <c r="AN185" s="29"/>
      <c r="AO185" s="29"/>
      <c r="AP185" s="29"/>
      <c r="AQ185" s="29"/>
      <c r="AR185" s="29"/>
      <c r="AS185" s="29"/>
      <c r="AT185" s="29"/>
      <c r="AU185" s="29"/>
      <c r="AV185" s="29"/>
      <c r="AW185" s="29"/>
      <c r="AX185" s="29"/>
      <c r="AY185" s="29"/>
      <c r="AZ185" s="29"/>
      <c r="BA185" s="29"/>
      <c r="BB185" s="29"/>
      <c r="BC185" s="29"/>
      <c r="BD185" s="29"/>
    </row>
    <row r="186" spans="1:56" customFormat="1" x14ac:dyDescent="0.35">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c r="AX186" s="29"/>
      <c r="AY186" s="29"/>
      <c r="AZ186" s="29"/>
      <c r="BA186" s="29"/>
      <c r="BB186" s="29"/>
      <c r="BC186" s="29"/>
      <c r="BD186" s="29"/>
    </row>
    <row r="187" spans="1:56" customFormat="1" x14ac:dyDescent="0.35">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c r="AG187" s="29"/>
      <c r="AH187" s="29"/>
      <c r="AI187" s="29"/>
      <c r="AJ187" s="29"/>
      <c r="AK187" s="29"/>
      <c r="AL187" s="29"/>
      <c r="AM187" s="29"/>
      <c r="AN187" s="29"/>
      <c r="AO187" s="29"/>
      <c r="AP187" s="29"/>
      <c r="AQ187" s="29"/>
      <c r="AR187" s="29"/>
      <c r="AS187" s="29"/>
      <c r="AT187" s="29"/>
      <c r="AU187" s="29"/>
      <c r="AV187" s="29"/>
      <c r="AW187" s="29"/>
      <c r="AX187" s="29"/>
      <c r="AY187" s="29"/>
      <c r="AZ187" s="29"/>
      <c r="BA187" s="29"/>
      <c r="BB187" s="29"/>
      <c r="BC187" s="29"/>
      <c r="BD187" s="29"/>
    </row>
    <row r="188" spans="1:56" customFormat="1" x14ac:dyDescent="0.35">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c r="AG188" s="29"/>
      <c r="AH188" s="29"/>
      <c r="AI188" s="29"/>
      <c r="AJ188" s="29"/>
      <c r="AK188" s="29"/>
      <c r="AL188" s="29"/>
      <c r="AM188" s="29"/>
      <c r="AN188" s="29"/>
      <c r="AO188" s="29"/>
      <c r="AP188" s="29"/>
      <c r="AQ188" s="29"/>
      <c r="AR188" s="29"/>
      <c r="AS188" s="29"/>
      <c r="AT188" s="29"/>
      <c r="AU188" s="29"/>
      <c r="AV188" s="29"/>
      <c r="AW188" s="29"/>
      <c r="AX188" s="29"/>
      <c r="AY188" s="29"/>
      <c r="AZ188" s="29"/>
      <c r="BA188" s="29"/>
      <c r="BB188" s="29"/>
      <c r="BC188" s="29"/>
      <c r="BD188" s="29"/>
    </row>
    <row r="189" spans="1:56" customFormat="1" x14ac:dyDescent="0.35">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c r="AG189" s="29"/>
      <c r="AH189" s="29"/>
      <c r="AI189" s="29"/>
      <c r="AJ189" s="29"/>
      <c r="AK189" s="29"/>
      <c r="AL189" s="29"/>
      <c r="AM189" s="29"/>
      <c r="AN189" s="29"/>
      <c r="AO189" s="29"/>
      <c r="AP189" s="29"/>
      <c r="AQ189" s="29"/>
      <c r="AR189" s="29"/>
      <c r="AS189" s="29"/>
      <c r="AT189" s="29"/>
      <c r="AU189" s="29"/>
      <c r="AV189" s="29"/>
      <c r="AW189" s="29"/>
      <c r="AX189" s="29"/>
      <c r="AY189" s="29"/>
      <c r="AZ189" s="29"/>
      <c r="BA189" s="29"/>
      <c r="BB189" s="29"/>
      <c r="BC189" s="29"/>
      <c r="BD189" s="29"/>
    </row>
    <row r="190" spans="1:56" customFormat="1" x14ac:dyDescent="0.35">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29"/>
      <c r="AW190" s="29"/>
      <c r="AX190" s="29"/>
      <c r="AY190" s="29"/>
      <c r="AZ190" s="29"/>
      <c r="BA190" s="29"/>
      <c r="BB190" s="29"/>
      <c r="BC190" s="29"/>
      <c r="BD190" s="29"/>
    </row>
    <row r="191" spans="1:56" customFormat="1" x14ac:dyDescent="0.35">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c r="AX191" s="29"/>
      <c r="AY191" s="29"/>
      <c r="AZ191" s="29"/>
      <c r="BA191" s="29"/>
      <c r="BB191" s="29"/>
      <c r="BC191" s="29"/>
      <c r="BD191" s="29"/>
    </row>
    <row r="192" spans="1:56" customFormat="1" x14ac:dyDescent="0.35">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c r="AY192" s="29"/>
      <c r="AZ192" s="29"/>
      <c r="BA192" s="29"/>
      <c r="BB192" s="29"/>
      <c r="BC192" s="29"/>
      <c r="BD192" s="29"/>
    </row>
    <row r="193" spans="1:56" customFormat="1" x14ac:dyDescent="0.35">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c r="AU193" s="29"/>
      <c r="AV193" s="29"/>
      <c r="AW193" s="29"/>
      <c r="AX193" s="29"/>
      <c r="AY193" s="29"/>
      <c r="AZ193" s="29"/>
      <c r="BA193" s="29"/>
      <c r="BB193" s="29"/>
      <c r="BC193" s="29"/>
      <c r="BD193" s="29"/>
    </row>
    <row r="194" spans="1:56" customFormat="1" x14ac:dyDescent="0.35">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c r="AX194" s="29"/>
      <c r="AY194" s="29"/>
      <c r="AZ194" s="29"/>
      <c r="BA194" s="29"/>
      <c r="BB194" s="29"/>
      <c r="BC194" s="29"/>
      <c r="BD194" s="29"/>
    </row>
    <row r="195" spans="1:56" customFormat="1" x14ac:dyDescent="0.35">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29"/>
      <c r="AW195" s="29"/>
      <c r="AX195" s="29"/>
      <c r="AY195" s="29"/>
      <c r="AZ195" s="29"/>
      <c r="BA195" s="29"/>
      <c r="BB195" s="29"/>
      <c r="BC195" s="29"/>
      <c r="BD195" s="29"/>
    </row>
    <row r="196" spans="1:56" customFormat="1" x14ac:dyDescent="0.35">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29"/>
      <c r="AU196" s="29"/>
      <c r="AV196" s="29"/>
      <c r="AW196" s="29"/>
      <c r="AX196" s="29"/>
      <c r="AY196" s="29"/>
      <c r="AZ196" s="29"/>
      <c r="BA196" s="29"/>
      <c r="BB196" s="29"/>
      <c r="BC196" s="29"/>
      <c r="BD196" s="29"/>
    </row>
    <row r="197" spans="1:56" customFormat="1" x14ac:dyDescent="0.35">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29"/>
      <c r="AW197" s="29"/>
      <c r="AX197" s="29"/>
      <c r="AY197" s="29"/>
      <c r="AZ197" s="29"/>
      <c r="BA197" s="29"/>
      <c r="BB197" s="29"/>
      <c r="BC197" s="29"/>
      <c r="BD197" s="29"/>
    </row>
    <row r="198" spans="1:56" customFormat="1" x14ac:dyDescent="0.35">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c r="AU198" s="29"/>
      <c r="AV198" s="29"/>
      <c r="AW198" s="29"/>
      <c r="AX198" s="29"/>
      <c r="AY198" s="29"/>
      <c r="AZ198" s="29"/>
      <c r="BA198" s="29"/>
      <c r="BB198" s="29"/>
      <c r="BC198" s="29"/>
      <c r="BD198" s="29"/>
    </row>
    <row r="199" spans="1:56" customFormat="1" x14ac:dyDescent="0.35">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c r="AZ199" s="29"/>
      <c r="BA199" s="29"/>
      <c r="BB199" s="29"/>
      <c r="BC199" s="29"/>
      <c r="BD199" s="29"/>
    </row>
    <row r="200" spans="1:56" customFormat="1" x14ac:dyDescent="0.35">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c r="AU200" s="29"/>
      <c r="AV200" s="29"/>
      <c r="AW200" s="29"/>
      <c r="AX200" s="29"/>
      <c r="AY200" s="29"/>
      <c r="AZ200" s="29"/>
      <c r="BA200" s="29"/>
      <c r="BB200" s="29"/>
      <c r="BC200" s="29"/>
      <c r="BD200" s="29"/>
    </row>
    <row r="201" spans="1:56" customFormat="1" x14ac:dyDescent="0.35">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c r="AF201" s="29"/>
      <c r="AG201" s="29"/>
      <c r="AH201" s="29"/>
      <c r="AI201" s="29"/>
      <c r="AJ201" s="29"/>
      <c r="AK201" s="29"/>
      <c r="AL201" s="29"/>
      <c r="AM201" s="29"/>
      <c r="AN201" s="29"/>
      <c r="AO201" s="29"/>
      <c r="AP201" s="29"/>
      <c r="AQ201" s="29"/>
      <c r="AR201" s="29"/>
      <c r="AS201" s="29"/>
      <c r="AT201" s="29"/>
      <c r="AU201" s="29"/>
      <c r="AV201" s="29"/>
      <c r="AW201" s="29"/>
      <c r="AX201" s="29"/>
      <c r="AY201" s="29"/>
      <c r="AZ201" s="29"/>
      <c r="BA201" s="29"/>
      <c r="BB201" s="29"/>
      <c r="BC201" s="29"/>
      <c r="BD201" s="29"/>
    </row>
    <row r="202" spans="1:56" customFormat="1" x14ac:dyDescent="0.35">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c r="AU202" s="29"/>
      <c r="AV202" s="29"/>
      <c r="AW202" s="29"/>
      <c r="AX202" s="29"/>
      <c r="AY202" s="29"/>
      <c r="AZ202" s="29"/>
      <c r="BA202" s="29"/>
      <c r="BB202" s="29"/>
      <c r="BC202" s="29"/>
      <c r="BD202" s="29"/>
    </row>
    <row r="203" spans="1:56" customFormat="1" x14ac:dyDescent="0.35">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F203" s="29"/>
      <c r="AG203" s="29"/>
      <c r="AH203" s="29"/>
      <c r="AI203" s="29"/>
      <c r="AJ203" s="29"/>
      <c r="AK203" s="29"/>
      <c r="AL203" s="29"/>
      <c r="AM203" s="29"/>
      <c r="AN203" s="29"/>
      <c r="AO203" s="29"/>
      <c r="AP203" s="29"/>
      <c r="AQ203" s="29"/>
      <c r="AR203" s="29"/>
      <c r="AS203" s="29"/>
      <c r="AT203" s="29"/>
      <c r="AU203" s="29"/>
      <c r="AV203" s="29"/>
      <c r="AW203" s="29"/>
      <c r="AX203" s="29"/>
      <c r="AY203" s="29"/>
      <c r="AZ203" s="29"/>
      <c r="BA203" s="29"/>
      <c r="BB203" s="29"/>
      <c r="BC203" s="29"/>
      <c r="BD203" s="29"/>
    </row>
    <row r="204" spans="1:56" customFormat="1" x14ac:dyDescent="0.35">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c r="AA204" s="29"/>
      <c r="AB204" s="29"/>
      <c r="AC204" s="29"/>
      <c r="AD204" s="29"/>
      <c r="AE204" s="29"/>
      <c r="AF204" s="29"/>
      <c r="AG204" s="29"/>
      <c r="AH204" s="29"/>
      <c r="AI204" s="29"/>
      <c r="AJ204" s="29"/>
      <c r="AK204" s="29"/>
      <c r="AL204" s="29"/>
      <c r="AM204" s="29"/>
      <c r="AN204" s="29"/>
      <c r="AO204" s="29"/>
      <c r="AP204" s="29"/>
      <c r="AQ204" s="29"/>
      <c r="AR204" s="29"/>
      <c r="AS204" s="29"/>
      <c r="AT204" s="29"/>
      <c r="AU204" s="29"/>
      <c r="AV204" s="29"/>
      <c r="AW204" s="29"/>
      <c r="AX204" s="29"/>
      <c r="AY204" s="29"/>
      <c r="AZ204" s="29"/>
      <c r="BA204" s="29"/>
      <c r="BB204" s="29"/>
      <c r="BC204" s="29"/>
      <c r="BD204" s="29"/>
    </row>
    <row r="205" spans="1:56" customFormat="1" x14ac:dyDescent="0.35">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c r="AU205" s="29"/>
      <c r="AV205" s="29"/>
      <c r="AW205" s="29"/>
      <c r="AX205" s="29"/>
      <c r="AY205" s="29"/>
      <c r="AZ205" s="29"/>
      <c r="BA205" s="29"/>
      <c r="BB205" s="29"/>
      <c r="BC205" s="29"/>
      <c r="BD205" s="29"/>
    </row>
    <row r="206" spans="1:56" customFormat="1" x14ac:dyDescent="0.35">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29"/>
      <c r="AW206" s="29"/>
      <c r="AX206" s="29"/>
      <c r="AY206" s="29"/>
      <c r="AZ206" s="29"/>
      <c r="BA206" s="29"/>
      <c r="BB206" s="29"/>
      <c r="BC206" s="29"/>
      <c r="BD206" s="29"/>
    </row>
    <row r="207" spans="1:56" customFormat="1" x14ac:dyDescent="0.35">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c r="AU207" s="29"/>
      <c r="AV207" s="29"/>
      <c r="AW207" s="29"/>
      <c r="AX207" s="29"/>
      <c r="AY207" s="29"/>
      <c r="AZ207" s="29"/>
      <c r="BA207" s="29"/>
      <c r="BB207" s="29"/>
      <c r="BC207" s="29"/>
      <c r="BD207" s="29"/>
    </row>
    <row r="208" spans="1:56" customFormat="1" x14ac:dyDescent="0.35">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29"/>
      <c r="AW208" s="29"/>
      <c r="AX208" s="29"/>
      <c r="AY208" s="29"/>
      <c r="AZ208" s="29"/>
      <c r="BA208" s="29"/>
      <c r="BB208" s="29"/>
      <c r="BC208" s="29"/>
      <c r="BD208" s="29"/>
    </row>
    <row r="209" spans="1:56" customFormat="1" x14ac:dyDescent="0.35">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c r="AU209" s="29"/>
      <c r="AV209" s="29"/>
      <c r="AW209" s="29"/>
      <c r="AX209" s="29"/>
      <c r="AY209" s="29"/>
      <c r="AZ209" s="29"/>
      <c r="BA209" s="29"/>
      <c r="BB209" s="29"/>
      <c r="BC209" s="29"/>
      <c r="BD209" s="29"/>
    </row>
    <row r="210" spans="1:56" customFormat="1" x14ac:dyDescent="0.35">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c r="AX210" s="29"/>
      <c r="AY210" s="29"/>
      <c r="AZ210" s="29"/>
      <c r="BA210" s="29"/>
      <c r="BB210" s="29"/>
      <c r="BC210" s="29"/>
      <c r="BD210" s="29"/>
    </row>
    <row r="211" spans="1:56" customFormat="1" x14ac:dyDescent="0.35">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29"/>
      <c r="AW211" s="29"/>
      <c r="AX211" s="29"/>
      <c r="AY211" s="29"/>
      <c r="AZ211" s="29"/>
      <c r="BA211" s="29"/>
      <c r="BB211" s="29"/>
      <c r="BC211" s="29"/>
      <c r="BD211" s="29"/>
    </row>
    <row r="212" spans="1:56" customFormat="1" x14ac:dyDescent="0.35">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c r="AG212" s="29"/>
      <c r="AH212" s="29"/>
      <c r="AI212" s="29"/>
      <c r="AJ212" s="29"/>
      <c r="AK212" s="29"/>
      <c r="AL212" s="29"/>
      <c r="AM212" s="29"/>
      <c r="AN212" s="29"/>
      <c r="AO212" s="29"/>
      <c r="AP212" s="29"/>
      <c r="AQ212" s="29"/>
      <c r="AR212" s="29"/>
      <c r="AS212" s="29"/>
      <c r="AT212" s="29"/>
      <c r="AU212" s="29"/>
      <c r="AV212" s="29"/>
      <c r="AW212" s="29"/>
      <c r="AX212" s="29"/>
      <c r="AY212" s="29"/>
      <c r="AZ212" s="29"/>
      <c r="BA212" s="29"/>
      <c r="BB212" s="29"/>
      <c r="BC212" s="29"/>
      <c r="BD212" s="29"/>
    </row>
    <row r="213" spans="1:56" customFormat="1" x14ac:dyDescent="0.35">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c r="AG213" s="29"/>
      <c r="AH213" s="29"/>
      <c r="AI213" s="29"/>
      <c r="AJ213" s="29"/>
      <c r="AK213" s="29"/>
      <c r="AL213" s="29"/>
      <c r="AM213" s="29"/>
      <c r="AN213" s="29"/>
      <c r="AO213" s="29"/>
      <c r="AP213" s="29"/>
      <c r="AQ213" s="29"/>
      <c r="AR213" s="29"/>
      <c r="AS213" s="29"/>
      <c r="AT213" s="29"/>
      <c r="AU213" s="29"/>
      <c r="AV213" s="29"/>
      <c r="AW213" s="29"/>
      <c r="AX213" s="29"/>
      <c r="AY213" s="29"/>
      <c r="AZ213" s="29"/>
      <c r="BA213" s="29"/>
      <c r="BB213" s="29"/>
      <c r="BC213" s="29"/>
      <c r="BD213" s="29"/>
    </row>
    <row r="214" spans="1:56" customFormat="1" x14ac:dyDescent="0.35">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c r="AG214" s="29"/>
      <c r="AH214" s="29"/>
      <c r="AI214" s="29"/>
      <c r="AJ214" s="29"/>
      <c r="AK214" s="29"/>
      <c r="AL214" s="29"/>
      <c r="AM214" s="29"/>
      <c r="AN214" s="29"/>
      <c r="AO214" s="29"/>
      <c r="AP214" s="29"/>
      <c r="AQ214" s="29"/>
      <c r="AR214" s="29"/>
      <c r="AS214" s="29"/>
      <c r="AT214" s="29"/>
      <c r="AU214" s="29"/>
      <c r="AV214" s="29"/>
      <c r="AW214" s="29"/>
      <c r="AX214" s="29"/>
      <c r="AY214" s="29"/>
      <c r="AZ214" s="29"/>
      <c r="BA214" s="29"/>
      <c r="BB214" s="29"/>
      <c r="BC214" s="29"/>
      <c r="BD214" s="29"/>
    </row>
    <row r="215" spans="1:56" customFormat="1" x14ac:dyDescent="0.35">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c r="AG215" s="29"/>
      <c r="AH215" s="29"/>
      <c r="AI215" s="29"/>
      <c r="AJ215" s="29"/>
      <c r="AK215" s="29"/>
      <c r="AL215" s="29"/>
      <c r="AM215" s="29"/>
      <c r="AN215" s="29"/>
      <c r="AO215" s="29"/>
      <c r="AP215" s="29"/>
      <c r="AQ215" s="29"/>
      <c r="AR215" s="29"/>
      <c r="AS215" s="29"/>
      <c r="AT215" s="29"/>
      <c r="AU215" s="29"/>
      <c r="AV215" s="29"/>
      <c r="AW215" s="29"/>
      <c r="AX215" s="29"/>
      <c r="AY215" s="29"/>
      <c r="AZ215" s="29"/>
      <c r="BA215" s="29"/>
      <c r="BB215" s="29"/>
      <c r="BC215" s="29"/>
      <c r="BD215" s="29"/>
    </row>
    <row r="216" spans="1:56" customFormat="1" x14ac:dyDescent="0.35">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c r="AH216" s="29"/>
      <c r="AI216" s="29"/>
      <c r="AJ216" s="29"/>
      <c r="AK216" s="29"/>
      <c r="AL216" s="29"/>
      <c r="AM216" s="29"/>
      <c r="AN216" s="29"/>
      <c r="AO216" s="29"/>
      <c r="AP216" s="29"/>
      <c r="AQ216" s="29"/>
      <c r="AR216" s="29"/>
      <c r="AS216" s="29"/>
      <c r="AT216" s="29"/>
      <c r="AU216" s="29"/>
      <c r="AV216" s="29"/>
      <c r="AW216" s="29"/>
      <c r="AX216" s="29"/>
      <c r="AY216" s="29"/>
      <c r="AZ216" s="29"/>
      <c r="BA216" s="29"/>
      <c r="BB216" s="29"/>
      <c r="BC216" s="29"/>
      <c r="BD216" s="29"/>
    </row>
    <row r="217" spans="1:56" customFormat="1" x14ac:dyDescent="0.35">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c r="AG217" s="29"/>
      <c r="AH217" s="29"/>
      <c r="AI217" s="29"/>
      <c r="AJ217" s="29"/>
      <c r="AK217" s="29"/>
      <c r="AL217" s="29"/>
      <c r="AM217" s="29"/>
      <c r="AN217" s="29"/>
      <c r="AO217" s="29"/>
      <c r="AP217" s="29"/>
      <c r="AQ217" s="29"/>
      <c r="AR217" s="29"/>
      <c r="AS217" s="29"/>
      <c r="AT217" s="29"/>
      <c r="AU217" s="29"/>
      <c r="AV217" s="29"/>
      <c r="AW217" s="29"/>
      <c r="AX217" s="29"/>
      <c r="AY217" s="29"/>
      <c r="AZ217" s="29"/>
      <c r="BA217" s="29"/>
      <c r="BB217" s="29"/>
      <c r="BC217" s="29"/>
      <c r="BD217" s="29"/>
    </row>
    <row r="218" spans="1:56" customFormat="1" x14ac:dyDescent="0.35">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c r="AG218" s="29"/>
      <c r="AH218" s="29"/>
      <c r="AI218" s="29"/>
      <c r="AJ218" s="29"/>
      <c r="AK218" s="29"/>
      <c r="AL218" s="29"/>
      <c r="AM218" s="29"/>
      <c r="AN218" s="29"/>
      <c r="AO218" s="29"/>
      <c r="AP218" s="29"/>
      <c r="AQ218" s="29"/>
      <c r="AR218" s="29"/>
      <c r="AS218" s="29"/>
      <c r="AT218" s="29"/>
      <c r="AU218" s="29"/>
      <c r="AV218" s="29"/>
      <c r="AW218" s="29"/>
      <c r="AX218" s="29"/>
      <c r="AY218" s="29"/>
      <c r="AZ218" s="29"/>
      <c r="BA218" s="29"/>
      <c r="BB218" s="29"/>
      <c r="BC218" s="29"/>
      <c r="BD218" s="29"/>
    </row>
    <row r="219" spans="1:56" customFormat="1" x14ac:dyDescent="0.35">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c r="AG219" s="29"/>
      <c r="AH219" s="29"/>
      <c r="AI219" s="29"/>
      <c r="AJ219" s="29"/>
      <c r="AK219" s="29"/>
      <c r="AL219" s="29"/>
      <c r="AM219" s="29"/>
      <c r="AN219" s="29"/>
      <c r="AO219" s="29"/>
      <c r="AP219" s="29"/>
      <c r="AQ219" s="29"/>
      <c r="AR219" s="29"/>
      <c r="AS219" s="29"/>
      <c r="AT219" s="29"/>
      <c r="AU219" s="29"/>
      <c r="AV219" s="29"/>
      <c r="AW219" s="29"/>
      <c r="AX219" s="29"/>
      <c r="AY219" s="29"/>
      <c r="AZ219" s="29"/>
      <c r="BA219" s="29"/>
      <c r="BB219" s="29"/>
      <c r="BC219" s="29"/>
      <c r="BD219" s="29"/>
    </row>
    <row r="220" spans="1:56" customFormat="1" x14ac:dyDescent="0.35">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c r="AG220" s="29"/>
      <c r="AH220" s="29"/>
      <c r="AI220" s="29"/>
      <c r="AJ220" s="29"/>
      <c r="AK220" s="29"/>
      <c r="AL220" s="29"/>
      <c r="AM220" s="29"/>
      <c r="AN220" s="29"/>
      <c r="AO220" s="29"/>
      <c r="AP220" s="29"/>
      <c r="AQ220" s="29"/>
      <c r="AR220" s="29"/>
      <c r="AS220" s="29"/>
      <c r="AT220" s="29"/>
      <c r="AU220" s="29"/>
      <c r="AV220" s="29"/>
      <c r="AW220" s="29"/>
      <c r="AX220" s="29"/>
      <c r="AY220" s="29"/>
      <c r="AZ220" s="29"/>
      <c r="BA220" s="29"/>
      <c r="BB220" s="29"/>
      <c r="BC220" s="29"/>
      <c r="BD220" s="29"/>
    </row>
    <row r="221" spans="1:56" customFormat="1" x14ac:dyDescent="0.35">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c r="AG221" s="29"/>
      <c r="AH221" s="29"/>
      <c r="AI221" s="29"/>
      <c r="AJ221" s="29"/>
      <c r="AK221" s="29"/>
      <c r="AL221" s="29"/>
      <c r="AM221" s="29"/>
      <c r="AN221" s="29"/>
      <c r="AO221" s="29"/>
      <c r="AP221" s="29"/>
      <c r="AQ221" s="29"/>
      <c r="AR221" s="29"/>
      <c r="AS221" s="29"/>
      <c r="AT221" s="29"/>
      <c r="AU221" s="29"/>
      <c r="AV221" s="29"/>
      <c r="AW221" s="29"/>
      <c r="AX221" s="29"/>
      <c r="AY221" s="29"/>
      <c r="AZ221" s="29"/>
      <c r="BA221" s="29"/>
      <c r="BB221" s="29"/>
      <c r="BC221" s="29"/>
      <c r="BD221" s="29"/>
    </row>
    <row r="222" spans="1:56" customFormat="1" x14ac:dyDescent="0.35">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29"/>
      <c r="AJ222" s="29"/>
      <c r="AK222" s="29"/>
      <c r="AL222" s="29"/>
      <c r="AM222" s="29"/>
      <c r="AN222" s="29"/>
      <c r="AO222" s="29"/>
      <c r="AP222" s="29"/>
      <c r="AQ222" s="29"/>
      <c r="AR222" s="29"/>
      <c r="AS222" s="29"/>
      <c r="AT222" s="29"/>
      <c r="AU222" s="29"/>
      <c r="AV222" s="29"/>
      <c r="AW222" s="29"/>
      <c r="AX222" s="29"/>
      <c r="AY222" s="29"/>
      <c r="AZ222" s="29"/>
      <c r="BA222" s="29"/>
      <c r="BB222" s="29"/>
      <c r="BC222" s="29"/>
      <c r="BD222" s="29"/>
    </row>
    <row r="223" spans="1:56" customFormat="1" x14ac:dyDescent="0.35">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c r="AG223" s="29"/>
      <c r="AH223" s="29"/>
      <c r="AI223" s="29"/>
      <c r="AJ223" s="29"/>
      <c r="AK223" s="29"/>
      <c r="AL223" s="29"/>
      <c r="AM223" s="29"/>
      <c r="AN223" s="29"/>
      <c r="AO223" s="29"/>
      <c r="AP223" s="29"/>
      <c r="AQ223" s="29"/>
      <c r="AR223" s="29"/>
      <c r="AS223" s="29"/>
      <c r="AT223" s="29"/>
      <c r="AU223" s="29"/>
      <c r="AV223" s="29"/>
      <c r="AW223" s="29"/>
      <c r="AX223" s="29"/>
      <c r="AY223" s="29"/>
      <c r="AZ223" s="29"/>
      <c r="BA223" s="29"/>
      <c r="BB223" s="29"/>
      <c r="BC223" s="29"/>
      <c r="BD223" s="29"/>
    </row>
    <row r="224" spans="1:56" customFormat="1" x14ac:dyDescent="0.35">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c r="AG224" s="29"/>
      <c r="AH224" s="29"/>
      <c r="AI224" s="29"/>
      <c r="AJ224" s="29"/>
      <c r="AK224" s="29"/>
      <c r="AL224" s="29"/>
      <c r="AM224" s="29"/>
      <c r="AN224" s="29"/>
      <c r="AO224" s="29"/>
      <c r="AP224" s="29"/>
      <c r="AQ224" s="29"/>
      <c r="AR224" s="29"/>
      <c r="AS224" s="29"/>
      <c r="AT224" s="29"/>
      <c r="AU224" s="29"/>
      <c r="AV224" s="29"/>
      <c r="AW224" s="29"/>
      <c r="AX224" s="29"/>
      <c r="AY224" s="29"/>
      <c r="AZ224" s="29"/>
      <c r="BA224" s="29"/>
      <c r="BB224" s="29"/>
      <c r="BC224" s="29"/>
      <c r="BD224" s="29"/>
    </row>
    <row r="225" spans="1:56" customFormat="1" x14ac:dyDescent="0.35">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9"/>
      <c r="AL225" s="29"/>
      <c r="AM225" s="29"/>
      <c r="AN225" s="29"/>
      <c r="AO225" s="29"/>
      <c r="AP225" s="29"/>
      <c r="AQ225" s="29"/>
      <c r="AR225" s="29"/>
      <c r="AS225" s="29"/>
      <c r="AT225" s="29"/>
      <c r="AU225" s="29"/>
      <c r="AV225" s="29"/>
      <c r="AW225" s="29"/>
      <c r="AX225" s="29"/>
      <c r="AY225" s="29"/>
      <c r="AZ225" s="29"/>
      <c r="BA225" s="29"/>
      <c r="BB225" s="29"/>
      <c r="BC225" s="29"/>
      <c r="BD225" s="29"/>
    </row>
    <row r="226" spans="1:56" customFormat="1" x14ac:dyDescent="0.35">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c r="AG226" s="29"/>
      <c r="AH226" s="29"/>
      <c r="AI226" s="29"/>
      <c r="AJ226" s="29"/>
      <c r="AK226" s="29"/>
      <c r="AL226" s="29"/>
      <c r="AM226" s="29"/>
      <c r="AN226" s="29"/>
      <c r="AO226" s="29"/>
      <c r="AP226" s="29"/>
      <c r="AQ226" s="29"/>
      <c r="AR226" s="29"/>
      <c r="AS226" s="29"/>
      <c r="AT226" s="29"/>
      <c r="AU226" s="29"/>
      <c r="AV226" s="29"/>
      <c r="AW226" s="29"/>
      <c r="AX226" s="29"/>
      <c r="AY226" s="29"/>
      <c r="AZ226" s="29"/>
      <c r="BA226" s="29"/>
      <c r="BB226" s="29"/>
      <c r="BC226" s="29"/>
      <c r="BD226" s="29"/>
    </row>
    <row r="227" spans="1:56" customFormat="1" x14ac:dyDescent="0.35">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c r="AG227" s="29"/>
      <c r="AH227" s="29"/>
      <c r="AI227" s="29"/>
      <c r="AJ227" s="29"/>
      <c r="AK227" s="29"/>
      <c r="AL227" s="29"/>
      <c r="AM227" s="29"/>
      <c r="AN227" s="29"/>
      <c r="AO227" s="29"/>
      <c r="AP227" s="29"/>
      <c r="AQ227" s="29"/>
      <c r="AR227" s="29"/>
      <c r="AS227" s="29"/>
      <c r="AT227" s="29"/>
      <c r="AU227" s="29"/>
      <c r="AV227" s="29"/>
      <c r="AW227" s="29"/>
      <c r="AX227" s="29"/>
      <c r="AY227" s="29"/>
      <c r="AZ227" s="29"/>
      <c r="BA227" s="29"/>
      <c r="BB227" s="29"/>
      <c r="BC227" s="29"/>
      <c r="BD227" s="29"/>
    </row>
    <row r="228" spans="1:56" customFormat="1" x14ac:dyDescent="0.35">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c r="AG228" s="29"/>
      <c r="AH228" s="29"/>
      <c r="AI228" s="29"/>
      <c r="AJ228" s="29"/>
      <c r="AK228" s="29"/>
      <c r="AL228" s="29"/>
      <c r="AM228" s="29"/>
      <c r="AN228" s="29"/>
      <c r="AO228" s="29"/>
      <c r="AP228" s="29"/>
      <c r="AQ228" s="29"/>
      <c r="AR228" s="29"/>
      <c r="AS228" s="29"/>
      <c r="AT228" s="29"/>
      <c r="AU228" s="29"/>
      <c r="AV228" s="29"/>
      <c r="AW228" s="29"/>
      <c r="AX228" s="29"/>
      <c r="AY228" s="29"/>
      <c r="AZ228" s="29"/>
      <c r="BA228" s="29"/>
      <c r="BB228" s="29"/>
      <c r="BC228" s="29"/>
      <c r="BD228" s="29"/>
    </row>
    <row r="229" spans="1:56" customFormat="1" x14ac:dyDescent="0.35">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c r="AF229" s="29"/>
      <c r="AG229" s="29"/>
      <c r="AH229" s="29"/>
      <c r="AI229" s="29"/>
      <c r="AJ229" s="29"/>
      <c r="AK229" s="29"/>
      <c r="AL229" s="29"/>
      <c r="AM229" s="29"/>
      <c r="AN229" s="29"/>
      <c r="AO229" s="29"/>
      <c r="AP229" s="29"/>
      <c r="AQ229" s="29"/>
      <c r="AR229" s="29"/>
      <c r="AS229" s="29"/>
      <c r="AT229" s="29"/>
      <c r="AU229" s="29"/>
      <c r="AV229" s="29"/>
      <c r="AW229" s="29"/>
      <c r="AX229" s="29"/>
      <c r="AY229" s="29"/>
      <c r="AZ229" s="29"/>
      <c r="BA229" s="29"/>
      <c r="BB229" s="29"/>
      <c r="BC229" s="29"/>
      <c r="BD229" s="29"/>
    </row>
    <row r="230" spans="1:56" customFormat="1" x14ac:dyDescent="0.35">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c r="AF230" s="29"/>
      <c r="AG230" s="29"/>
      <c r="AH230" s="29"/>
      <c r="AI230" s="29"/>
      <c r="AJ230" s="29"/>
      <c r="AK230" s="29"/>
      <c r="AL230" s="29"/>
      <c r="AM230" s="29"/>
      <c r="AN230" s="29"/>
      <c r="AO230" s="29"/>
      <c r="AP230" s="29"/>
      <c r="AQ230" s="29"/>
      <c r="AR230" s="29"/>
      <c r="AS230" s="29"/>
      <c r="AT230" s="29"/>
      <c r="AU230" s="29"/>
      <c r="AV230" s="29"/>
      <c r="AW230" s="29"/>
      <c r="AX230" s="29"/>
      <c r="AY230" s="29"/>
      <c r="AZ230" s="29"/>
      <c r="BA230" s="29"/>
      <c r="BB230" s="29"/>
      <c r="BC230" s="29"/>
      <c r="BD230" s="29"/>
    </row>
    <row r="231" spans="1:56" customFormat="1" x14ac:dyDescent="0.35">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F231" s="29"/>
      <c r="AG231" s="29"/>
      <c r="AH231" s="29"/>
      <c r="AI231" s="29"/>
      <c r="AJ231" s="29"/>
      <c r="AK231" s="29"/>
      <c r="AL231" s="29"/>
      <c r="AM231" s="29"/>
      <c r="AN231" s="29"/>
      <c r="AO231" s="29"/>
      <c r="AP231" s="29"/>
      <c r="AQ231" s="29"/>
      <c r="AR231" s="29"/>
      <c r="AS231" s="29"/>
      <c r="AT231" s="29"/>
      <c r="AU231" s="29"/>
      <c r="AV231" s="29"/>
      <c r="AW231" s="29"/>
      <c r="AX231" s="29"/>
      <c r="AY231" s="29"/>
      <c r="AZ231" s="29"/>
      <c r="BA231" s="29"/>
      <c r="BB231" s="29"/>
      <c r="BC231" s="29"/>
      <c r="BD231" s="29"/>
    </row>
    <row r="232" spans="1:56" customFormat="1" x14ac:dyDescent="0.35">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c r="AF232" s="29"/>
      <c r="AG232" s="29"/>
      <c r="AH232" s="29"/>
      <c r="AI232" s="29"/>
      <c r="AJ232" s="29"/>
      <c r="AK232" s="29"/>
      <c r="AL232" s="29"/>
      <c r="AM232" s="29"/>
      <c r="AN232" s="29"/>
      <c r="AO232" s="29"/>
      <c r="AP232" s="29"/>
      <c r="AQ232" s="29"/>
      <c r="AR232" s="29"/>
      <c r="AS232" s="29"/>
      <c r="AT232" s="29"/>
      <c r="AU232" s="29"/>
      <c r="AV232" s="29"/>
      <c r="AW232" s="29"/>
      <c r="AX232" s="29"/>
      <c r="AY232" s="29"/>
      <c r="AZ232" s="29"/>
      <c r="BA232" s="29"/>
      <c r="BB232" s="29"/>
      <c r="BC232" s="29"/>
      <c r="BD232" s="29"/>
    </row>
    <row r="233" spans="1:56" customFormat="1" x14ac:dyDescent="0.35">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c r="AY233" s="29"/>
      <c r="AZ233" s="29"/>
      <c r="BA233" s="29"/>
      <c r="BB233" s="29"/>
      <c r="BC233" s="29"/>
      <c r="BD233" s="29"/>
    </row>
    <row r="234" spans="1:56" customFormat="1" x14ac:dyDescent="0.35">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c r="AR234" s="29"/>
      <c r="AS234" s="29"/>
      <c r="AT234" s="29"/>
      <c r="AU234" s="29"/>
      <c r="AV234" s="29"/>
      <c r="AW234" s="29"/>
      <c r="AX234" s="29"/>
      <c r="AY234" s="29"/>
      <c r="AZ234" s="29"/>
      <c r="BA234" s="29"/>
      <c r="BB234" s="29"/>
      <c r="BC234" s="29"/>
      <c r="BD234" s="29"/>
    </row>
    <row r="235" spans="1:56" customFormat="1" x14ac:dyDescent="0.35">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c r="AY235" s="29"/>
      <c r="AZ235" s="29"/>
      <c r="BA235" s="29"/>
      <c r="BB235" s="29"/>
      <c r="BC235" s="29"/>
      <c r="BD235" s="29"/>
    </row>
    <row r="236" spans="1:56" customFormat="1" x14ac:dyDescent="0.35">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c r="AY236" s="29"/>
      <c r="AZ236" s="29"/>
      <c r="BA236" s="29"/>
      <c r="BB236" s="29"/>
      <c r="BC236" s="29"/>
      <c r="BD236" s="29"/>
    </row>
    <row r="237" spans="1:56" customFormat="1" x14ac:dyDescent="0.35">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c r="AY237" s="29"/>
      <c r="AZ237" s="29"/>
      <c r="BA237" s="29"/>
      <c r="BB237" s="29"/>
      <c r="BC237" s="29"/>
      <c r="BD237" s="29"/>
    </row>
    <row r="238" spans="1:56" customFormat="1" x14ac:dyDescent="0.35">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row>
    <row r="239" spans="1:56" customFormat="1" x14ac:dyDescent="0.35">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row>
    <row r="240" spans="1:56" customFormat="1" x14ac:dyDescent="0.35">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row>
    <row r="241" spans="1:56" customFormat="1" x14ac:dyDescent="0.35">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c r="AY241" s="29"/>
      <c r="AZ241" s="29"/>
      <c r="BA241" s="29"/>
      <c r="BB241" s="29"/>
      <c r="BC241" s="29"/>
      <c r="BD241" s="29"/>
    </row>
    <row r="242" spans="1:56" customFormat="1" x14ac:dyDescent="0.35">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c r="AY242" s="29"/>
      <c r="AZ242" s="29"/>
      <c r="BA242" s="29"/>
      <c r="BB242" s="29"/>
      <c r="BC242" s="29"/>
      <c r="BD242" s="29"/>
    </row>
    <row r="243" spans="1:56" customFormat="1" x14ac:dyDescent="0.35">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c r="AY243" s="29"/>
      <c r="AZ243" s="29"/>
      <c r="BA243" s="29"/>
      <c r="BB243" s="29"/>
      <c r="BC243" s="29"/>
      <c r="BD243" s="29"/>
    </row>
    <row r="244" spans="1:56" customFormat="1" x14ac:dyDescent="0.35">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row>
    <row r="245" spans="1:56" customFormat="1" x14ac:dyDescent="0.35">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c r="AY245" s="29"/>
      <c r="AZ245" s="29"/>
      <c r="BA245" s="29"/>
      <c r="BB245" s="29"/>
      <c r="BC245" s="29"/>
      <c r="BD245" s="29"/>
    </row>
    <row r="246" spans="1:56" customFormat="1" x14ac:dyDescent="0.35">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c r="AY246" s="29"/>
      <c r="AZ246" s="29"/>
      <c r="BA246" s="29"/>
      <c r="BB246" s="29"/>
      <c r="BC246" s="29"/>
      <c r="BD246" s="29"/>
    </row>
    <row r="247" spans="1:56" customFormat="1" x14ac:dyDescent="0.35">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c r="AY247" s="29"/>
      <c r="AZ247" s="29"/>
      <c r="BA247" s="29"/>
      <c r="BB247" s="29"/>
      <c r="BC247" s="29"/>
      <c r="BD247" s="29"/>
    </row>
    <row r="248" spans="1:56" customFormat="1" x14ac:dyDescent="0.35">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c r="AY248" s="29"/>
      <c r="AZ248" s="29"/>
      <c r="BA248" s="29"/>
      <c r="BB248" s="29"/>
      <c r="BC248" s="29"/>
      <c r="BD248" s="29"/>
    </row>
    <row r="249" spans="1:56" customFormat="1" x14ac:dyDescent="0.35">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c r="AY249" s="29"/>
      <c r="AZ249" s="29"/>
      <c r="BA249" s="29"/>
      <c r="BB249" s="29"/>
      <c r="BC249" s="29"/>
      <c r="BD249" s="29"/>
    </row>
    <row r="250" spans="1:56" customFormat="1" x14ac:dyDescent="0.35">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c r="AY250" s="29"/>
      <c r="AZ250" s="29"/>
      <c r="BA250" s="29"/>
      <c r="BB250" s="29"/>
      <c r="BC250" s="29"/>
      <c r="BD250" s="29"/>
    </row>
    <row r="251" spans="1:56" customFormat="1" x14ac:dyDescent="0.35">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c r="AY251" s="29"/>
      <c r="AZ251" s="29"/>
      <c r="BA251" s="29"/>
      <c r="BB251" s="29"/>
      <c r="BC251" s="29"/>
      <c r="BD251" s="29"/>
    </row>
    <row r="252" spans="1:56" customFormat="1" x14ac:dyDescent="0.35">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c r="AY252" s="29"/>
      <c r="AZ252" s="29"/>
      <c r="BA252" s="29"/>
      <c r="BB252" s="29"/>
      <c r="BC252" s="29"/>
      <c r="BD252" s="29"/>
    </row>
    <row r="253" spans="1:56" customFormat="1" x14ac:dyDescent="0.35">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c r="AY253" s="29"/>
      <c r="AZ253" s="29"/>
      <c r="BA253" s="29"/>
      <c r="BB253" s="29"/>
      <c r="BC253" s="29"/>
      <c r="BD253" s="29"/>
    </row>
    <row r="254" spans="1:56" customFormat="1" x14ac:dyDescent="0.35">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c r="AR254" s="29"/>
      <c r="AS254" s="29"/>
      <c r="AT254" s="29"/>
      <c r="AU254" s="29"/>
      <c r="AV254" s="29"/>
      <c r="AW254" s="29"/>
      <c r="AX254" s="29"/>
      <c r="AY254" s="29"/>
      <c r="AZ254" s="29"/>
      <c r="BA254" s="29"/>
      <c r="BB254" s="29"/>
      <c r="BC254" s="29"/>
      <c r="BD254" s="29"/>
    </row>
    <row r="255" spans="1:56" customFormat="1" x14ac:dyDescent="0.35">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29"/>
      <c r="AW255" s="29"/>
      <c r="AX255" s="29"/>
      <c r="AY255" s="29"/>
      <c r="AZ255" s="29"/>
      <c r="BA255" s="29"/>
      <c r="BB255" s="29"/>
      <c r="BC255" s="29"/>
      <c r="BD255" s="29"/>
    </row>
    <row r="256" spans="1:56" customFormat="1" x14ac:dyDescent="0.35">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c r="AY256" s="29"/>
      <c r="AZ256" s="29"/>
      <c r="BA256" s="29"/>
      <c r="BB256" s="29"/>
      <c r="BC256" s="29"/>
      <c r="BD256" s="29"/>
    </row>
    <row r="257" spans="1:56" customFormat="1" x14ac:dyDescent="0.35">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c r="AY257" s="29"/>
      <c r="AZ257" s="29"/>
      <c r="BA257" s="29"/>
      <c r="BB257" s="29"/>
      <c r="BC257" s="29"/>
      <c r="BD257" s="29"/>
    </row>
    <row r="258" spans="1:56" customFormat="1" x14ac:dyDescent="0.35">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c r="AR258" s="29"/>
      <c r="AS258" s="29"/>
      <c r="AT258" s="29"/>
      <c r="AU258" s="29"/>
      <c r="AV258" s="29"/>
      <c r="AW258" s="29"/>
      <c r="AX258" s="29"/>
      <c r="AY258" s="29"/>
      <c r="AZ258" s="29"/>
      <c r="BA258" s="29"/>
      <c r="BB258" s="29"/>
      <c r="BC258" s="29"/>
      <c r="BD258" s="29"/>
    </row>
    <row r="259" spans="1:56" customFormat="1" x14ac:dyDescent="0.35">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row>
    <row r="260" spans="1:56" customFormat="1" x14ac:dyDescent="0.35">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c r="AX260" s="29"/>
      <c r="AY260" s="29"/>
      <c r="AZ260" s="29"/>
      <c r="BA260" s="29"/>
      <c r="BB260" s="29"/>
      <c r="BC260" s="29"/>
      <c r="BD260" s="29"/>
    </row>
    <row r="261" spans="1:56" customFormat="1" x14ac:dyDescent="0.35">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c r="AY261" s="29"/>
      <c r="AZ261" s="29"/>
      <c r="BA261" s="29"/>
      <c r="BB261" s="29"/>
      <c r="BC261" s="29"/>
      <c r="BD261" s="29"/>
    </row>
    <row r="262" spans="1:56" customFormat="1" x14ac:dyDescent="0.35">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c r="AY262" s="29"/>
      <c r="AZ262" s="29"/>
      <c r="BA262" s="29"/>
      <c r="BB262" s="29"/>
      <c r="BC262" s="29"/>
      <c r="BD262" s="29"/>
    </row>
    <row r="263" spans="1:56" customFormat="1" x14ac:dyDescent="0.35">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c r="AR263" s="29"/>
      <c r="AS263" s="29"/>
      <c r="AT263" s="29"/>
      <c r="AU263" s="29"/>
      <c r="AV263" s="29"/>
      <c r="AW263" s="29"/>
      <c r="AX263" s="29"/>
      <c r="AY263" s="29"/>
      <c r="AZ263" s="29"/>
      <c r="BA263" s="29"/>
      <c r="BB263" s="29"/>
      <c r="BC263" s="29"/>
      <c r="BD263" s="29"/>
    </row>
    <row r="264" spans="1:56" customFormat="1" x14ac:dyDescent="0.35">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c r="AR264" s="29"/>
      <c r="AS264" s="29"/>
      <c r="AT264" s="29"/>
      <c r="AU264" s="29"/>
      <c r="AV264" s="29"/>
      <c r="AW264" s="29"/>
      <c r="AX264" s="29"/>
      <c r="AY264" s="29"/>
      <c r="AZ264" s="29"/>
      <c r="BA264" s="29"/>
      <c r="BB264" s="29"/>
      <c r="BC264" s="29"/>
      <c r="BD264" s="29"/>
    </row>
    <row r="265" spans="1:56" customFormat="1" x14ac:dyDescent="0.35">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row>
    <row r="266" spans="1:56" customFormat="1" x14ac:dyDescent="0.35">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c r="AX266" s="29"/>
      <c r="AY266" s="29"/>
      <c r="AZ266" s="29"/>
      <c r="BA266" s="29"/>
      <c r="BB266" s="29"/>
      <c r="BC266" s="29"/>
      <c r="BD266" s="29"/>
    </row>
    <row r="267" spans="1:56" customFormat="1" x14ac:dyDescent="0.35">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9"/>
      <c r="AL267" s="29"/>
      <c r="AM267" s="29"/>
      <c r="AN267" s="29"/>
      <c r="AO267" s="29"/>
      <c r="AP267" s="29"/>
      <c r="AQ267" s="29"/>
      <c r="AR267" s="29"/>
      <c r="AS267" s="29"/>
      <c r="AT267" s="29"/>
      <c r="AU267" s="29"/>
      <c r="AV267" s="29"/>
      <c r="AW267" s="29"/>
      <c r="AX267" s="29"/>
      <c r="AY267" s="29"/>
      <c r="AZ267" s="29"/>
      <c r="BA267" s="29"/>
      <c r="BB267" s="29"/>
      <c r="BC267" s="29"/>
      <c r="BD267" s="29"/>
    </row>
    <row r="268" spans="1:56" customFormat="1" x14ac:dyDescent="0.35">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c r="AR268" s="29"/>
      <c r="AS268" s="29"/>
      <c r="AT268" s="29"/>
      <c r="AU268" s="29"/>
      <c r="AV268" s="29"/>
      <c r="AW268" s="29"/>
      <c r="AX268" s="29"/>
      <c r="AY268" s="29"/>
      <c r="AZ268" s="29"/>
      <c r="BA268" s="29"/>
      <c r="BB268" s="29"/>
      <c r="BC268" s="29"/>
      <c r="BD268" s="29"/>
    </row>
    <row r="269" spans="1:56" customFormat="1" x14ac:dyDescent="0.35">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9"/>
      <c r="AL269" s="29"/>
      <c r="AM269" s="29"/>
      <c r="AN269" s="29"/>
      <c r="AO269" s="29"/>
      <c r="AP269" s="29"/>
      <c r="AQ269" s="29"/>
      <c r="AR269" s="29"/>
      <c r="AS269" s="29"/>
      <c r="AT269" s="29"/>
      <c r="AU269" s="29"/>
      <c r="AV269" s="29"/>
      <c r="AW269" s="29"/>
      <c r="AX269" s="29"/>
      <c r="AY269" s="29"/>
      <c r="AZ269" s="29"/>
      <c r="BA269" s="29"/>
      <c r="BB269" s="29"/>
      <c r="BC269" s="29"/>
      <c r="BD269" s="29"/>
    </row>
    <row r="270" spans="1:56" customFormat="1" x14ac:dyDescent="0.35">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9"/>
      <c r="AL270" s="29"/>
      <c r="AM270" s="29"/>
      <c r="AN270" s="29"/>
      <c r="AO270" s="29"/>
      <c r="AP270" s="29"/>
      <c r="AQ270" s="29"/>
      <c r="AR270" s="29"/>
      <c r="AS270" s="29"/>
      <c r="AT270" s="29"/>
      <c r="AU270" s="29"/>
      <c r="AV270" s="29"/>
      <c r="AW270" s="29"/>
      <c r="AX270" s="29"/>
      <c r="AY270" s="29"/>
      <c r="AZ270" s="29"/>
      <c r="BA270" s="29"/>
      <c r="BB270" s="29"/>
      <c r="BC270" s="29"/>
      <c r="BD270" s="29"/>
    </row>
    <row r="271" spans="1:56" customFormat="1" x14ac:dyDescent="0.35">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c r="AN271" s="29"/>
      <c r="AO271" s="29"/>
      <c r="AP271" s="29"/>
      <c r="AQ271" s="29"/>
      <c r="AR271" s="29"/>
      <c r="AS271" s="29"/>
      <c r="AT271" s="29"/>
      <c r="AU271" s="29"/>
      <c r="AV271" s="29"/>
      <c r="AW271" s="29"/>
      <c r="AX271" s="29"/>
      <c r="AY271" s="29"/>
      <c r="AZ271" s="29"/>
      <c r="BA271" s="29"/>
      <c r="BB271" s="29"/>
      <c r="BC271" s="29"/>
      <c r="BD271" s="29"/>
    </row>
    <row r="272" spans="1:56" customFormat="1" x14ac:dyDescent="0.35">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29"/>
      <c r="AM272" s="29"/>
      <c r="AN272" s="29"/>
      <c r="AO272" s="29"/>
      <c r="AP272" s="29"/>
      <c r="AQ272" s="29"/>
      <c r="AR272" s="29"/>
      <c r="AS272" s="29"/>
      <c r="AT272" s="29"/>
      <c r="AU272" s="29"/>
      <c r="AV272" s="29"/>
      <c r="AW272" s="29"/>
      <c r="AX272" s="29"/>
      <c r="AY272" s="29"/>
      <c r="AZ272" s="29"/>
      <c r="BA272" s="29"/>
      <c r="BB272" s="29"/>
      <c r="BC272" s="29"/>
      <c r="BD272" s="29"/>
    </row>
    <row r="273" spans="1:56" customFormat="1" x14ac:dyDescent="0.35">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29"/>
      <c r="AM273" s="29"/>
      <c r="AN273" s="29"/>
      <c r="AO273" s="29"/>
      <c r="AP273" s="29"/>
      <c r="AQ273" s="29"/>
      <c r="AR273" s="29"/>
      <c r="AS273" s="29"/>
      <c r="AT273" s="29"/>
      <c r="AU273" s="29"/>
      <c r="AV273" s="29"/>
      <c r="AW273" s="29"/>
      <c r="AX273" s="29"/>
      <c r="AY273" s="29"/>
      <c r="AZ273" s="29"/>
      <c r="BA273" s="29"/>
      <c r="BB273" s="29"/>
      <c r="BC273" s="29"/>
      <c r="BD273" s="29"/>
    </row>
    <row r="274" spans="1:56" customFormat="1" x14ac:dyDescent="0.35">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c r="AN274" s="29"/>
      <c r="AO274" s="29"/>
      <c r="AP274" s="29"/>
      <c r="AQ274" s="29"/>
      <c r="AR274" s="29"/>
      <c r="AS274" s="29"/>
      <c r="AT274" s="29"/>
      <c r="AU274" s="29"/>
      <c r="AV274" s="29"/>
      <c r="AW274" s="29"/>
      <c r="AX274" s="29"/>
      <c r="AY274" s="29"/>
      <c r="AZ274" s="29"/>
      <c r="BA274" s="29"/>
      <c r="BB274" s="29"/>
      <c r="BC274" s="29"/>
      <c r="BD274" s="29"/>
    </row>
    <row r="275" spans="1:56" customFormat="1" x14ac:dyDescent="0.35">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c r="AM275" s="29"/>
      <c r="AN275" s="29"/>
      <c r="AO275" s="29"/>
      <c r="AP275" s="29"/>
      <c r="AQ275" s="29"/>
      <c r="AR275" s="29"/>
      <c r="AS275" s="29"/>
      <c r="AT275" s="29"/>
      <c r="AU275" s="29"/>
      <c r="AV275" s="29"/>
      <c r="AW275" s="29"/>
      <c r="AX275" s="29"/>
      <c r="AY275" s="29"/>
      <c r="AZ275" s="29"/>
      <c r="BA275" s="29"/>
      <c r="BB275" s="29"/>
      <c r="BC275" s="29"/>
      <c r="BD275" s="29"/>
    </row>
    <row r="276" spans="1:56" customFormat="1" x14ac:dyDescent="0.35">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row>
    <row r="277" spans="1:56" customFormat="1" x14ac:dyDescent="0.35">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c r="AR277" s="29"/>
      <c r="AS277" s="29"/>
      <c r="AT277" s="29"/>
      <c r="AU277" s="29"/>
      <c r="AV277" s="29"/>
      <c r="AW277" s="29"/>
      <c r="AX277" s="29"/>
      <c r="AY277" s="29"/>
      <c r="AZ277" s="29"/>
      <c r="BA277" s="29"/>
      <c r="BB277" s="29"/>
      <c r="BC277" s="29"/>
      <c r="BD277" s="29"/>
    </row>
    <row r="278" spans="1:56" customFormat="1" x14ac:dyDescent="0.35">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row>
    <row r="279" spans="1:56" customFormat="1" x14ac:dyDescent="0.35">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c r="AR279" s="29"/>
      <c r="AS279" s="29"/>
      <c r="AT279" s="29"/>
      <c r="AU279" s="29"/>
      <c r="AV279" s="29"/>
      <c r="AW279" s="29"/>
      <c r="AX279" s="29"/>
      <c r="AY279" s="29"/>
      <c r="AZ279" s="29"/>
      <c r="BA279" s="29"/>
      <c r="BB279" s="29"/>
      <c r="BC279" s="29"/>
      <c r="BD279" s="29"/>
    </row>
    <row r="280" spans="1:56" customFormat="1" x14ac:dyDescent="0.35">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c r="AR280" s="29"/>
      <c r="AS280" s="29"/>
      <c r="AT280" s="29"/>
      <c r="AU280" s="29"/>
      <c r="AV280" s="29"/>
      <c r="AW280" s="29"/>
      <c r="AX280" s="29"/>
      <c r="AY280" s="29"/>
      <c r="AZ280" s="29"/>
      <c r="BA280" s="29"/>
      <c r="BB280" s="29"/>
      <c r="BC280" s="29"/>
      <c r="BD280" s="29"/>
    </row>
    <row r="281" spans="1:56" customFormat="1" x14ac:dyDescent="0.35">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c r="AY281" s="29"/>
      <c r="AZ281" s="29"/>
      <c r="BA281" s="29"/>
      <c r="BB281" s="29"/>
      <c r="BC281" s="29"/>
      <c r="BD281" s="29"/>
    </row>
    <row r="282" spans="1:56" customFormat="1" x14ac:dyDescent="0.35">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c r="AN282" s="29"/>
      <c r="AO282" s="29"/>
      <c r="AP282" s="29"/>
      <c r="AQ282" s="29"/>
      <c r="AR282" s="29"/>
      <c r="AS282" s="29"/>
      <c r="AT282" s="29"/>
      <c r="AU282" s="29"/>
      <c r="AV282" s="29"/>
      <c r="AW282" s="29"/>
      <c r="AX282" s="29"/>
      <c r="AY282" s="29"/>
      <c r="AZ282" s="29"/>
      <c r="BA282" s="29"/>
      <c r="BB282" s="29"/>
      <c r="BC282" s="29"/>
      <c r="BD282" s="29"/>
    </row>
    <row r="283" spans="1:56" customFormat="1" x14ac:dyDescent="0.35">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29"/>
      <c r="AM283" s="29"/>
      <c r="AN283" s="29"/>
      <c r="AO283" s="29"/>
      <c r="AP283" s="29"/>
      <c r="AQ283" s="29"/>
      <c r="AR283" s="29"/>
      <c r="AS283" s="29"/>
      <c r="AT283" s="29"/>
      <c r="AU283" s="29"/>
      <c r="AV283" s="29"/>
      <c r="AW283" s="29"/>
      <c r="AX283" s="29"/>
      <c r="AY283" s="29"/>
      <c r="AZ283" s="29"/>
      <c r="BA283" s="29"/>
      <c r="BB283" s="29"/>
      <c r="BC283" s="29"/>
      <c r="BD283" s="29"/>
    </row>
    <row r="284" spans="1:56" customFormat="1" x14ac:dyDescent="0.35">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c r="AN284" s="29"/>
      <c r="AO284" s="29"/>
      <c r="AP284" s="29"/>
      <c r="AQ284" s="29"/>
      <c r="AR284" s="29"/>
      <c r="AS284" s="29"/>
      <c r="AT284" s="29"/>
      <c r="AU284" s="29"/>
      <c r="AV284" s="29"/>
      <c r="AW284" s="29"/>
      <c r="AX284" s="29"/>
      <c r="AY284" s="29"/>
      <c r="AZ284" s="29"/>
      <c r="BA284" s="29"/>
      <c r="BB284" s="29"/>
      <c r="BC284" s="29"/>
      <c r="BD284" s="29"/>
    </row>
    <row r="285" spans="1:56" customFormat="1" x14ac:dyDescent="0.35">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29"/>
      <c r="AM285" s="29"/>
      <c r="AN285" s="29"/>
      <c r="AO285" s="29"/>
      <c r="AP285" s="29"/>
      <c r="AQ285" s="29"/>
      <c r="AR285" s="29"/>
      <c r="AS285" s="29"/>
      <c r="AT285" s="29"/>
      <c r="AU285" s="29"/>
      <c r="AV285" s="29"/>
      <c r="AW285" s="29"/>
      <c r="AX285" s="29"/>
      <c r="AY285" s="29"/>
      <c r="AZ285" s="29"/>
      <c r="BA285" s="29"/>
      <c r="BB285" s="29"/>
      <c r="BC285" s="29"/>
      <c r="BD285" s="29"/>
    </row>
    <row r="286" spans="1:56" customFormat="1" x14ac:dyDescent="0.35">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c r="AY286" s="29"/>
      <c r="AZ286" s="29"/>
      <c r="BA286" s="29"/>
      <c r="BB286" s="29"/>
      <c r="BC286" s="29"/>
      <c r="BD286" s="29"/>
    </row>
    <row r="287" spans="1:56" customFormat="1" x14ac:dyDescent="0.35">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29"/>
      <c r="AM287" s="29"/>
      <c r="AN287" s="29"/>
      <c r="AO287" s="29"/>
      <c r="AP287" s="29"/>
      <c r="AQ287" s="29"/>
      <c r="AR287" s="29"/>
      <c r="AS287" s="29"/>
      <c r="AT287" s="29"/>
      <c r="AU287" s="29"/>
      <c r="AV287" s="29"/>
      <c r="AW287" s="29"/>
      <c r="AX287" s="29"/>
      <c r="AY287" s="29"/>
      <c r="AZ287" s="29"/>
      <c r="BA287" s="29"/>
      <c r="BB287" s="29"/>
      <c r="BC287" s="29"/>
      <c r="BD287" s="29"/>
    </row>
    <row r="288" spans="1:56" customFormat="1" x14ac:dyDescent="0.35">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c r="AX288" s="29"/>
      <c r="AY288" s="29"/>
      <c r="AZ288" s="29"/>
      <c r="BA288" s="29"/>
      <c r="BB288" s="29"/>
      <c r="BC288" s="29"/>
      <c r="BD288" s="29"/>
    </row>
    <row r="289" spans="1:56" customFormat="1" x14ac:dyDescent="0.35">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c r="AJ289" s="29"/>
      <c r="AK289" s="29"/>
      <c r="AL289" s="29"/>
      <c r="AM289" s="29"/>
      <c r="AN289" s="29"/>
      <c r="AO289" s="29"/>
      <c r="AP289" s="29"/>
      <c r="AQ289" s="29"/>
      <c r="AR289" s="29"/>
      <c r="AS289" s="29"/>
      <c r="AT289" s="29"/>
      <c r="AU289" s="29"/>
      <c r="AV289" s="29"/>
      <c r="AW289" s="29"/>
      <c r="AX289" s="29"/>
      <c r="AY289" s="29"/>
      <c r="AZ289" s="29"/>
      <c r="BA289" s="29"/>
      <c r="BB289" s="29"/>
      <c r="BC289" s="29"/>
      <c r="BD289" s="29"/>
    </row>
    <row r="290" spans="1:56" customFormat="1" x14ac:dyDescent="0.35">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c r="AY290" s="29"/>
      <c r="AZ290" s="29"/>
      <c r="BA290" s="29"/>
      <c r="BB290" s="29"/>
      <c r="BC290" s="29"/>
      <c r="BD290" s="29"/>
    </row>
    <row r="291" spans="1:56" customFormat="1" x14ac:dyDescent="0.35">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c r="AY291" s="29"/>
      <c r="AZ291" s="29"/>
      <c r="BA291" s="29"/>
      <c r="BB291" s="29"/>
      <c r="BC291" s="29"/>
      <c r="BD291" s="29"/>
    </row>
    <row r="292" spans="1:56" customFormat="1" x14ac:dyDescent="0.35">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c r="AI292" s="29"/>
      <c r="AJ292" s="29"/>
      <c r="AK292" s="29"/>
      <c r="AL292" s="29"/>
      <c r="AM292" s="29"/>
      <c r="AN292" s="29"/>
      <c r="AO292" s="29"/>
      <c r="AP292" s="29"/>
      <c r="AQ292" s="29"/>
      <c r="AR292" s="29"/>
      <c r="AS292" s="29"/>
      <c r="AT292" s="29"/>
      <c r="AU292" s="29"/>
      <c r="AV292" s="29"/>
      <c r="AW292" s="29"/>
      <c r="AX292" s="29"/>
      <c r="AY292" s="29"/>
      <c r="AZ292" s="29"/>
      <c r="BA292" s="29"/>
      <c r="BB292" s="29"/>
      <c r="BC292" s="29"/>
      <c r="BD292" s="29"/>
    </row>
    <row r="293" spans="1:56" customFormat="1" x14ac:dyDescent="0.35">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c r="AY293" s="29"/>
      <c r="AZ293" s="29"/>
      <c r="BA293" s="29"/>
      <c r="BB293" s="29"/>
      <c r="BC293" s="29"/>
      <c r="BD293" s="29"/>
    </row>
    <row r="294" spans="1:56" customFormat="1" x14ac:dyDescent="0.35">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c r="AA294" s="29"/>
      <c r="AB294" s="29"/>
      <c r="AC294" s="29"/>
      <c r="AD294" s="29"/>
      <c r="AE294" s="29"/>
      <c r="AF294" s="29"/>
      <c r="AG294" s="29"/>
      <c r="AH294" s="29"/>
      <c r="AI294" s="29"/>
      <c r="AJ294" s="29"/>
      <c r="AK294" s="29"/>
      <c r="AL294" s="29"/>
      <c r="AM294" s="29"/>
      <c r="AN294" s="29"/>
      <c r="AO294" s="29"/>
      <c r="AP294" s="29"/>
      <c r="AQ294" s="29"/>
      <c r="AR294" s="29"/>
      <c r="AS294" s="29"/>
      <c r="AT294" s="29"/>
      <c r="AU294" s="29"/>
      <c r="AV294" s="29"/>
      <c r="AW294" s="29"/>
      <c r="AX294" s="29"/>
      <c r="AY294" s="29"/>
      <c r="AZ294" s="29"/>
      <c r="BA294" s="29"/>
      <c r="BB294" s="29"/>
      <c r="BC294" s="29"/>
      <c r="BD294" s="29"/>
    </row>
    <row r="295" spans="1:56" customFormat="1" x14ac:dyDescent="0.35">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c r="AI295" s="29"/>
      <c r="AJ295" s="29"/>
      <c r="AK295" s="29"/>
      <c r="AL295" s="29"/>
      <c r="AM295" s="29"/>
      <c r="AN295" s="29"/>
      <c r="AO295" s="29"/>
      <c r="AP295" s="29"/>
      <c r="AQ295" s="29"/>
      <c r="AR295" s="29"/>
      <c r="AS295" s="29"/>
      <c r="AT295" s="29"/>
      <c r="AU295" s="29"/>
      <c r="AV295" s="29"/>
      <c r="AW295" s="29"/>
      <c r="AX295" s="29"/>
      <c r="AY295" s="29"/>
      <c r="AZ295" s="29"/>
      <c r="BA295" s="29"/>
      <c r="BB295" s="29"/>
      <c r="BC295" s="29"/>
      <c r="BD295" s="29"/>
    </row>
    <row r="296" spans="1:56" customFormat="1" x14ac:dyDescent="0.35">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c r="AX296" s="29"/>
      <c r="AY296" s="29"/>
      <c r="AZ296" s="29"/>
      <c r="BA296" s="29"/>
      <c r="BB296" s="29"/>
      <c r="BC296" s="29"/>
      <c r="BD296" s="29"/>
    </row>
    <row r="297" spans="1:56" customFormat="1" x14ac:dyDescent="0.35">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c r="AY297" s="29"/>
      <c r="AZ297" s="29"/>
      <c r="BA297" s="29"/>
      <c r="BB297" s="29"/>
      <c r="BC297" s="29"/>
      <c r="BD297" s="29"/>
    </row>
    <row r="298" spans="1:56" customFormat="1" x14ac:dyDescent="0.35">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29"/>
      <c r="AM298" s="29"/>
      <c r="AN298" s="29"/>
      <c r="AO298" s="29"/>
      <c r="AP298" s="29"/>
      <c r="AQ298" s="29"/>
      <c r="AR298" s="29"/>
      <c r="AS298" s="29"/>
      <c r="AT298" s="29"/>
      <c r="AU298" s="29"/>
      <c r="AV298" s="29"/>
      <c r="AW298" s="29"/>
      <c r="AX298" s="29"/>
      <c r="AY298" s="29"/>
      <c r="AZ298" s="29"/>
      <c r="BA298" s="29"/>
      <c r="BB298" s="29"/>
      <c r="BC298" s="29"/>
      <c r="BD298" s="29"/>
    </row>
    <row r="299" spans="1:56" customFormat="1" x14ac:dyDescent="0.35">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9"/>
      <c r="AL299" s="29"/>
      <c r="AM299" s="29"/>
      <c r="AN299" s="29"/>
      <c r="AO299" s="29"/>
      <c r="AP299" s="29"/>
      <c r="AQ299" s="29"/>
      <c r="AR299" s="29"/>
      <c r="AS299" s="29"/>
      <c r="AT299" s="29"/>
      <c r="AU299" s="29"/>
      <c r="AV299" s="29"/>
      <c r="AW299" s="29"/>
      <c r="AX299" s="29"/>
      <c r="AY299" s="29"/>
      <c r="AZ299" s="29"/>
      <c r="BA299" s="29"/>
      <c r="BB299" s="29"/>
      <c r="BC299" s="29"/>
      <c r="BD299" s="29"/>
    </row>
    <row r="300" spans="1:56" customFormat="1" x14ac:dyDescent="0.35">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c r="AX300" s="29"/>
      <c r="AY300" s="29"/>
      <c r="AZ300" s="29"/>
      <c r="BA300" s="29"/>
      <c r="BB300" s="29"/>
      <c r="BC300" s="29"/>
      <c r="BD300" s="29"/>
    </row>
    <row r="301" spans="1:56" customFormat="1" x14ac:dyDescent="0.35">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c r="AA301" s="29"/>
      <c r="AB301" s="29"/>
      <c r="AC301" s="29"/>
      <c r="AD301" s="29"/>
      <c r="AE301" s="29"/>
      <c r="AF301" s="29"/>
      <c r="AG301" s="29"/>
      <c r="AH301" s="29"/>
      <c r="AI301" s="29"/>
      <c r="AJ301" s="29"/>
      <c r="AK301" s="29"/>
      <c r="AL301" s="29"/>
      <c r="AM301" s="29"/>
      <c r="AN301" s="29"/>
      <c r="AO301" s="29"/>
      <c r="AP301" s="29"/>
      <c r="AQ301" s="29"/>
      <c r="AR301" s="29"/>
      <c r="AS301" s="29"/>
      <c r="AT301" s="29"/>
      <c r="AU301" s="29"/>
      <c r="AV301" s="29"/>
      <c r="AW301" s="29"/>
      <c r="AX301" s="29"/>
      <c r="AY301" s="29"/>
      <c r="AZ301" s="29"/>
      <c r="BA301" s="29"/>
      <c r="BB301" s="29"/>
      <c r="BC301" s="29"/>
      <c r="BD301" s="29"/>
    </row>
    <row r="302" spans="1:56" customFormat="1" x14ac:dyDescent="0.35">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c r="AA302" s="29"/>
      <c r="AB302" s="29"/>
      <c r="AC302" s="29"/>
      <c r="AD302" s="29"/>
      <c r="AE302" s="29"/>
      <c r="AF302" s="29"/>
      <c r="AG302" s="29"/>
      <c r="AH302" s="29"/>
      <c r="AI302" s="29"/>
      <c r="AJ302" s="29"/>
      <c r="AK302" s="29"/>
      <c r="AL302" s="29"/>
      <c r="AM302" s="29"/>
      <c r="AN302" s="29"/>
      <c r="AO302" s="29"/>
      <c r="AP302" s="29"/>
      <c r="AQ302" s="29"/>
      <c r="AR302" s="29"/>
      <c r="AS302" s="29"/>
      <c r="AT302" s="29"/>
      <c r="AU302" s="29"/>
      <c r="AV302" s="29"/>
      <c r="AW302" s="29"/>
      <c r="AX302" s="29"/>
      <c r="AY302" s="29"/>
      <c r="AZ302" s="29"/>
      <c r="BA302" s="29"/>
      <c r="BB302" s="29"/>
      <c r="BC302" s="29"/>
      <c r="BD302" s="29"/>
    </row>
    <row r="303" spans="1:56" customFormat="1" x14ac:dyDescent="0.35">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c r="AD303" s="29"/>
      <c r="AE303" s="29"/>
      <c r="AF303" s="29"/>
      <c r="AG303" s="29"/>
      <c r="AH303" s="29"/>
      <c r="AI303" s="29"/>
      <c r="AJ303" s="29"/>
      <c r="AK303" s="29"/>
      <c r="AL303" s="29"/>
      <c r="AM303" s="29"/>
      <c r="AN303" s="29"/>
      <c r="AO303" s="29"/>
      <c r="AP303" s="29"/>
      <c r="AQ303" s="29"/>
      <c r="AR303" s="29"/>
      <c r="AS303" s="29"/>
      <c r="AT303" s="29"/>
      <c r="AU303" s="29"/>
      <c r="AV303" s="29"/>
      <c r="AW303" s="29"/>
      <c r="AX303" s="29"/>
      <c r="AY303" s="29"/>
      <c r="AZ303" s="29"/>
      <c r="BA303" s="29"/>
      <c r="BB303" s="29"/>
      <c r="BC303" s="29"/>
      <c r="BD303" s="29"/>
    </row>
    <row r="304" spans="1:56" customFormat="1" x14ac:dyDescent="0.35">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c r="AA304" s="29"/>
      <c r="AB304" s="29"/>
      <c r="AC304" s="29"/>
      <c r="AD304" s="29"/>
      <c r="AE304" s="29"/>
      <c r="AF304" s="29"/>
      <c r="AG304" s="29"/>
      <c r="AH304" s="29"/>
      <c r="AI304" s="29"/>
      <c r="AJ304" s="29"/>
      <c r="AK304" s="29"/>
      <c r="AL304" s="29"/>
      <c r="AM304" s="29"/>
      <c r="AN304" s="29"/>
      <c r="AO304" s="29"/>
      <c r="AP304" s="29"/>
      <c r="AQ304" s="29"/>
      <c r="AR304" s="29"/>
      <c r="AS304" s="29"/>
      <c r="AT304" s="29"/>
      <c r="AU304" s="29"/>
      <c r="AV304" s="29"/>
      <c r="AW304" s="29"/>
      <c r="AX304" s="29"/>
      <c r="AY304" s="29"/>
      <c r="AZ304" s="29"/>
      <c r="BA304" s="29"/>
      <c r="BB304" s="29"/>
      <c r="BC304" s="29"/>
      <c r="BD304" s="29"/>
    </row>
    <row r="305" spans="1:56" customFormat="1" x14ac:dyDescent="0.35">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c r="AA305" s="29"/>
      <c r="AB305" s="29"/>
      <c r="AC305" s="29"/>
      <c r="AD305" s="29"/>
      <c r="AE305" s="29"/>
      <c r="AF305" s="29"/>
      <c r="AG305" s="29"/>
      <c r="AH305" s="29"/>
      <c r="AI305" s="29"/>
      <c r="AJ305" s="29"/>
      <c r="AK305" s="29"/>
      <c r="AL305" s="29"/>
      <c r="AM305" s="29"/>
      <c r="AN305" s="29"/>
      <c r="AO305" s="29"/>
      <c r="AP305" s="29"/>
      <c r="AQ305" s="29"/>
      <c r="AR305" s="29"/>
      <c r="AS305" s="29"/>
      <c r="AT305" s="29"/>
      <c r="AU305" s="29"/>
      <c r="AV305" s="29"/>
      <c r="AW305" s="29"/>
      <c r="AX305" s="29"/>
      <c r="AY305" s="29"/>
      <c r="AZ305" s="29"/>
      <c r="BA305" s="29"/>
      <c r="BB305" s="29"/>
      <c r="BC305" s="29"/>
      <c r="BD305" s="29"/>
    </row>
    <row r="306" spans="1:56" customFormat="1" x14ac:dyDescent="0.35">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c r="AD306" s="29"/>
      <c r="AE306" s="29"/>
      <c r="AF306" s="29"/>
      <c r="AG306" s="29"/>
      <c r="AH306" s="29"/>
      <c r="AI306" s="29"/>
      <c r="AJ306" s="29"/>
      <c r="AK306" s="29"/>
      <c r="AL306" s="29"/>
      <c r="AM306" s="29"/>
      <c r="AN306" s="29"/>
      <c r="AO306" s="29"/>
      <c r="AP306" s="29"/>
      <c r="AQ306" s="29"/>
      <c r="AR306" s="29"/>
      <c r="AS306" s="29"/>
      <c r="AT306" s="29"/>
      <c r="AU306" s="29"/>
      <c r="AV306" s="29"/>
      <c r="AW306" s="29"/>
      <c r="AX306" s="29"/>
      <c r="AY306" s="29"/>
      <c r="AZ306" s="29"/>
      <c r="BA306" s="29"/>
      <c r="BB306" s="29"/>
      <c r="BC306" s="29"/>
      <c r="BD306" s="29"/>
    </row>
    <row r="307" spans="1:56" customFormat="1" x14ac:dyDescent="0.35">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c r="AA307" s="29"/>
      <c r="AB307" s="29"/>
      <c r="AC307" s="29"/>
      <c r="AD307" s="29"/>
      <c r="AE307" s="29"/>
      <c r="AF307" s="29"/>
      <c r="AG307" s="29"/>
      <c r="AH307" s="29"/>
      <c r="AI307" s="29"/>
      <c r="AJ307" s="29"/>
      <c r="AK307" s="29"/>
      <c r="AL307" s="29"/>
      <c r="AM307" s="29"/>
      <c r="AN307" s="29"/>
      <c r="AO307" s="29"/>
      <c r="AP307" s="29"/>
      <c r="AQ307" s="29"/>
      <c r="AR307" s="29"/>
      <c r="AS307" s="29"/>
      <c r="AT307" s="29"/>
      <c r="AU307" s="29"/>
      <c r="AV307" s="29"/>
      <c r="AW307" s="29"/>
      <c r="AX307" s="29"/>
      <c r="AY307" s="29"/>
      <c r="AZ307" s="29"/>
      <c r="BA307" s="29"/>
      <c r="BB307" s="29"/>
      <c r="BC307" s="29"/>
      <c r="BD307" s="29"/>
    </row>
    <row r="308" spans="1:56" customFormat="1" x14ac:dyDescent="0.35">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c r="AA308" s="29"/>
      <c r="AB308" s="29"/>
      <c r="AC308" s="29"/>
      <c r="AD308" s="29"/>
      <c r="AE308" s="29"/>
      <c r="AF308" s="29"/>
      <c r="AG308" s="29"/>
      <c r="AH308" s="29"/>
      <c r="AI308" s="29"/>
      <c r="AJ308" s="29"/>
      <c r="AK308" s="29"/>
      <c r="AL308" s="29"/>
      <c r="AM308" s="29"/>
      <c r="AN308" s="29"/>
      <c r="AO308" s="29"/>
      <c r="AP308" s="29"/>
      <c r="AQ308" s="29"/>
      <c r="AR308" s="29"/>
      <c r="AS308" s="29"/>
      <c r="AT308" s="29"/>
      <c r="AU308" s="29"/>
      <c r="AV308" s="29"/>
      <c r="AW308" s="29"/>
      <c r="AX308" s="29"/>
      <c r="AY308" s="29"/>
      <c r="AZ308" s="29"/>
      <c r="BA308" s="29"/>
      <c r="BB308" s="29"/>
      <c r="BC308" s="29"/>
      <c r="BD308" s="29"/>
    </row>
    <row r="309" spans="1:56" customFormat="1" x14ac:dyDescent="0.35">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c r="AA309" s="29"/>
      <c r="AB309" s="29"/>
      <c r="AC309" s="29"/>
      <c r="AD309" s="29"/>
      <c r="AE309" s="29"/>
      <c r="AF309" s="29"/>
      <c r="AG309" s="29"/>
      <c r="AH309" s="29"/>
      <c r="AI309" s="29"/>
      <c r="AJ309" s="29"/>
      <c r="AK309" s="29"/>
      <c r="AL309" s="29"/>
      <c r="AM309" s="29"/>
      <c r="AN309" s="29"/>
      <c r="AO309" s="29"/>
      <c r="AP309" s="29"/>
      <c r="AQ309" s="29"/>
      <c r="AR309" s="29"/>
      <c r="AS309" s="29"/>
      <c r="AT309" s="29"/>
      <c r="AU309" s="29"/>
      <c r="AV309" s="29"/>
      <c r="AW309" s="29"/>
      <c r="AX309" s="29"/>
      <c r="AY309" s="29"/>
      <c r="AZ309" s="29"/>
      <c r="BA309" s="29"/>
      <c r="BB309" s="29"/>
      <c r="BC309" s="29"/>
      <c r="BD309" s="29"/>
    </row>
    <row r="310" spans="1:56" customFormat="1" x14ac:dyDescent="0.35">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c r="AG310" s="29"/>
      <c r="AH310" s="29"/>
      <c r="AI310" s="29"/>
      <c r="AJ310" s="29"/>
      <c r="AK310" s="29"/>
      <c r="AL310" s="29"/>
      <c r="AM310" s="29"/>
      <c r="AN310" s="29"/>
      <c r="AO310" s="29"/>
      <c r="AP310" s="29"/>
      <c r="AQ310" s="29"/>
      <c r="AR310" s="29"/>
      <c r="AS310" s="29"/>
      <c r="AT310" s="29"/>
      <c r="AU310" s="29"/>
      <c r="AV310" s="29"/>
      <c r="AW310" s="29"/>
      <c r="AX310" s="29"/>
      <c r="AY310" s="29"/>
      <c r="AZ310" s="29"/>
      <c r="BA310" s="29"/>
      <c r="BB310" s="29"/>
      <c r="BC310" s="29"/>
      <c r="BD310" s="29"/>
    </row>
    <row r="311" spans="1:56" customFormat="1" x14ac:dyDescent="0.35">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c r="AA311" s="29"/>
      <c r="AB311" s="29"/>
      <c r="AC311" s="29"/>
      <c r="AD311" s="29"/>
      <c r="AE311" s="29"/>
      <c r="AF311" s="29"/>
      <c r="AG311" s="29"/>
      <c r="AH311" s="29"/>
      <c r="AI311" s="29"/>
      <c r="AJ311" s="29"/>
      <c r="AK311" s="29"/>
      <c r="AL311" s="29"/>
      <c r="AM311" s="29"/>
      <c r="AN311" s="29"/>
      <c r="AO311" s="29"/>
      <c r="AP311" s="29"/>
      <c r="AQ311" s="29"/>
      <c r="AR311" s="29"/>
      <c r="AS311" s="29"/>
      <c r="AT311" s="29"/>
      <c r="AU311" s="29"/>
      <c r="AV311" s="29"/>
      <c r="AW311" s="29"/>
      <c r="AX311" s="29"/>
      <c r="AY311" s="29"/>
      <c r="AZ311" s="29"/>
      <c r="BA311" s="29"/>
      <c r="BB311" s="29"/>
      <c r="BC311" s="29"/>
      <c r="BD311" s="29"/>
    </row>
    <row r="312" spans="1:56" customFormat="1" x14ac:dyDescent="0.35">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c r="AA312" s="29"/>
      <c r="AB312" s="29"/>
      <c r="AC312" s="29"/>
      <c r="AD312" s="29"/>
      <c r="AE312" s="29"/>
      <c r="AF312" s="29"/>
      <c r="AG312" s="29"/>
      <c r="AH312" s="29"/>
      <c r="AI312" s="29"/>
      <c r="AJ312" s="29"/>
      <c r="AK312" s="29"/>
      <c r="AL312" s="29"/>
      <c r="AM312" s="29"/>
      <c r="AN312" s="29"/>
      <c r="AO312" s="29"/>
      <c r="AP312" s="29"/>
      <c r="AQ312" s="29"/>
      <c r="AR312" s="29"/>
      <c r="AS312" s="29"/>
      <c r="AT312" s="29"/>
      <c r="AU312" s="29"/>
      <c r="AV312" s="29"/>
      <c r="AW312" s="29"/>
      <c r="AX312" s="29"/>
      <c r="AY312" s="29"/>
      <c r="AZ312" s="29"/>
      <c r="BA312" s="29"/>
      <c r="BB312" s="29"/>
      <c r="BC312" s="29"/>
      <c r="BD312" s="29"/>
    </row>
    <row r="313" spans="1:56" customFormat="1" x14ac:dyDescent="0.35">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c r="AH313" s="29"/>
      <c r="AI313" s="29"/>
      <c r="AJ313" s="29"/>
      <c r="AK313" s="29"/>
      <c r="AL313" s="29"/>
      <c r="AM313" s="29"/>
      <c r="AN313" s="29"/>
      <c r="AO313" s="29"/>
      <c r="AP313" s="29"/>
      <c r="AQ313" s="29"/>
      <c r="AR313" s="29"/>
      <c r="AS313" s="29"/>
      <c r="AT313" s="29"/>
      <c r="AU313" s="29"/>
      <c r="AV313" s="29"/>
      <c r="AW313" s="29"/>
      <c r="AX313" s="29"/>
      <c r="AY313" s="29"/>
      <c r="AZ313" s="29"/>
      <c r="BA313" s="29"/>
      <c r="BB313" s="29"/>
      <c r="BC313" s="29"/>
      <c r="BD313" s="29"/>
    </row>
    <row r="314" spans="1:56" customFormat="1" x14ac:dyDescent="0.35">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c r="AA314" s="29"/>
      <c r="AB314" s="29"/>
      <c r="AC314" s="29"/>
      <c r="AD314" s="29"/>
      <c r="AE314" s="29"/>
      <c r="AF314" s="29"/>
      <c r="AG314" s="29"/>
      <c r="AH314" s="29"/>
      <c r="AI314" s="29"/>
      <c r="AJ314" s="29"/>
      <c r="AK314" s="29"/>
      <c r="AL314" s="29"/>
      <c r="AM314" s="29"/>
      <c r="AN314" s="29"/>
      <c r="AO314" s="29"/>
      <c r="AP314" s="29"/>
      <c r="AQ314" s="29"/>
      <c r="AR314" s="29"/>
      <c r="AS314" s="29"/>
      <c r="AT314" s="29"/>
      <c r="AU314" s="29"/>
      <c r="AV314" s="29"/>
      <c r="AW314" s="29"/>
      <c r="AX314" s="29"/>
      <c r="AY314" s="29"/>
      <c r="AZ314" s="29"/>
      <c r="BA314" s="29"/>
      <c r="BB314" s="29"/>
      <c r="BC314" s="29"/>
      <c r="BD314" s="29"/>
    </row>
    <row r="315" spans="1:56" customFormat="1" x14ac:dyDescent="0.35">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c r="AA315" s="29"/>
      <c r="AB315" s="29"/>
      <c r="AC315" s="29"/>
      <c r="AD315" s="29"/>
      <c r="AE315" s="29"/>
      <c r="AF315" s="29"/>
      <c r="AG315" s="29"/>
      <c r="AH315" s="29"/>
      <c r="AI315" s="29"/>
      <c r="AJ315" s="29"/>
      <c r="AK315" s="29"/>
      <c r="AL315" s="29"/>
      <c r="AM315" s="29"/>
      <c r="AN315" s="29"/>
      <c r="AO315" s="29"/>
      <c r="AP315" s="29"/>
      <c r="AQ315" s="29"/>
      <c r="AR315" s="29"/>
      <c r="AS315" s="29"/>
      <c r="AT315" s="29"/>
      <c r="AU315" s="29"/>
      <c r="AV315" s="29"/>
      <c r="AW315" s="29"/>
      <c r="AX315" s="29"/>
      <c r="AY315" s="29"/>
      <c r="AZ315" s="29"/>
      <c r="BA315" s="29"/>
      <c r="BB315" s="29"/>
      <c r="BC315" s="29"/>
      <c r="BD315" s="29"/>
    </row>
    <row r="316" spans="1:56" customFormat="1" x14ac:dyDescent="0.35">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c r="AD316" s="29"/>
      <c r="AE316" s="29"/>
      <c r="AF316" s="29"/>
      <c r="AG316" s="29"/>
      <c r="AH316" s="29"/>
      <c r="AI316" s="29"/>
      <c r="AJ316" s="29"/>
      <c r="AK316" s="29"/>
      <c r="AL316" s="29"/>
      <c r="AM316" s="29"/>
      <c r="AN316" s="29"/>
      <c r="AO316" s="29"/>
      <c r="AP316" s="29"/>
      <c r="AQ316" s="29"/>
      <c r="AR316" s="29"/>
      <c r="AS316" s="29"/>
      <c r="AT316" s="29"/>
      <c r="AU316" s="29"/>
      <c r="AV316" s="29"/>
      <c r="AW316" s="29"/>
      <c r="AX316" s="29"/>
      <c r="AY316" s="29"/>
      <c r="AZ316" s="29"/>
      <c r="BA316" s="29"/>
      <c r="BB316" s="29"/>
      <c r="BC316" s="29"/>
      <c r="BD316" s="29"/>
    </row>
    <row r="317" spans="1:56" customFormat="1" x14ac:dyDescent="0.35">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c r="AA317" s="29"/>
      <c r="AB317" s="29"/>
      <c r="AC317" s="29"/>
      <c r="AD317" s="29"/>
      <c r="AE317" s="29"/>
      <c r="AF317" s="29"/>
      <c r="AG317" s="29"/>
      <c r="AH317" s="29"/>
      <c r="AI317" s="29"/>
      <c r="AJ317" s="29"/>
      <c r="AK317" s="29"/>
      <c r="AL317" s="29"/>
      <c r="AM317" s="29"/>
      <c r="AN317" s="29"/>
      <c r="AO317" s="29"/>
      <c r="AP317" s="29"/>
      <c r="AQ317" s="29"/>
      <c r="AR317" s="29"/>
      <c r="AS317" s="29"/>
      <c r="AT317" s="29"/>
      <c r="AU317" s="29"/>
      <c r="AV317" s="29"/>
      <c r="AW317" s="29"/>
      <c r="AX317" s="29"/>
      <c r="AY317" s="29"/>
      <c r="AZ317" s="29"/>
      <c r="BA317" s="29"/>
      <c r="BB317" s="29"/>
      <c r="BC317" s="29"/>
      <c r="BD317" s="29"/>
    </row>
    <row r="318" spans="1:56" customFormat="1" x14ac:dyDescent="0.35">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c r="AA318" s="29"/>
      <c r="AB318" s="29"/>
      <c r="AC318" s="29"/>
      <c r="AD318" s="29"/>
      <c r="AE318" s="29"/>
      <c r="AF318" s="29"/>
      <c r="AG318" s="29"/>
      <c r="AH318" s="29"/>
      <c r="AI318" s="29"/>
      <c r="AJ318" s="29"/>
      <c r="AK318" s="29"/>
      <c r="AL318" s="29"/>
      <c r="AM318" s="29"/>
      <c r="AN318" s="29"/>
      <c r="AO318" s="29"/>
      <c r="AP318" s="29"/>
      <c r="AQ318" s="29"/>
      <c r="AR318" s="29"/>
      <c r="AS318" s="29"/>
      <c r="AT318" s="29"/>
      <c r="AU318" s="29"/>
      <c r="AV318" s="29"/>
      <c r="AW318" s="29"/>
      <c r="AX318" s="29"/>
      <c r="AY318" s="29"/>
      <c r="AZ318" s="29"/>
      <c r="BA318" s="29"/>
      <c r="BB318" s="29"/>
      <c r="BC318" s="29"/>
      <c r="BD318" s="29"/>
    </row>
    <row r="319" spans="1:56" customFormat="1" x14ac:dyDescent="0.35">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c r="AD319" s="29"/>
      <c r="AE319" s="29"/>
      <c r="AF319" s="29"/>
      <c r="AG319" s="29"/>
      <c r="AH319" s="29"/>
      <c r="AI319" s="29"/>
      <c r="AJ319" s="29"/>
      <c r="AK319" s="29"/>
      <c r="AL319" s="29"/>
      <c r="AM319" s="29"/>
      <c r="AN319" s="29"/>
      <c r="AO319" s="29"/>
      <c r="AP319" s="29"/>
      <c r="AQ319" s="29"/>
      <c r="AR319" s="29"/>
      <c r="AS319" s="29"/>
      <c r="AT319" s="29"/>
      <c r="AU319" s="29"/>
      <c r="AV319" s="29"/>
      <c r="AW319" s="29"/>
      <c r="AX319" s="29"/>
      <c r="AY319" s="29"/>
      <c r="AZ319" s="29"/>
      <c r="BA319" s="29"/>
      <c r="BB319" s="29"/>
      <c r="BC319" s="29"/>
      <c r="BD319" s="29"/>
    </row>
    <row r="320" spans="1:56" customFormat="1" x14ac:dyDescent="0.35">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c r="AA320" s="29"/>
      <c r="AB320" s="29"/>
      <c r="AC320" s="29"/>
      <c r="AD320" s="29"/>
      <c r="AE320" s="29"/>
      <c r="AF320" s="29"/>
      <c r="AG320" s="29"/>
      <c r="AH320" s="29"/>
      <c r="AI320" s="29"/>
      <c r="AJ320" s="29"/>
      <c r="AK320" s="29"/>
      <c r="AL320" s="29"/>
      <c r="AM320" s="29"/>
      <c r="AN320" s="29"/>
      <c r="AO320" s="29"/>
      <c r="AP320" s="29"/>
      <c r="AQ320" s="29"/>
      <c r="AR320" s="29"/>
      <c r="AS320" s="29"/>
      <c r="AT320" s="29"/>
      <c r="AU320" s="29"/>
      <c r="AV320" s="29"/>
      <c r="AW320" s="29"/>
      <c r="AX320" s="29"/>
      <c r="AY320" s="29"/>
      <c r="AZ320" s="29"/>
      <c r="BA320" s="29"/>
      <c r="BB320" s="29"/>
      <c r="BC320" s="29"/>
      <c r="BD320" s="29"/>
    </row>
    <row r="321" spans="1:56" customFormat="1" x14ac:dyDescent="0.35">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c r="AA321" s="29"/>
      <c r="AB321" s="29"/>
      <c r="AC321" s="29"/>
      <c r="AD321" s="29"/>
      <c r="AE321" s="29"/>
      <c r="AF321" s="29"/>
      <c r="AG321" s="29"/>
      <c r="AH321" s="29"/>
      <c r="AI321" s="29"/>
      <c r="AJ321" s="29"/>
      <c r="AK321" s="29"/>
      <c r="AL321" s="29"/>
      <c r="AM321" s="29"/>
      <c r="AN321" s="29"/>
      <c r="AO321" s="29"/>
      <c r="AP321" s="29"/>
      <c r="AQ321" s="29"/>
      <c r="AR321" s="29"/>
      <c r="AS321" s="29"/>
      <c r="AT321" s="29"/>
      <c r="AU321" s="29"/>
      <c r="AV321" s="29"/>
      <c r="AW321" s="29"/>
      <c r="AX321" s="29"/>
      <c r="AY321" s="29"/>
      <c r="AZ321" s="29"/>
      <c r="BA321" s="29"/>
      <c r="BB321" s="29"/>
      <c r="BC321" s="29"/>
      <c r="BD321" s="29"/>
    </row>
    <row r="322" spans="1:56" customFormat="1" x14ac:dyDescent="0.35">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c r="AA322" s="29"/>
      <c r="AB322" s="29"/>
      <c r="AC322" s="29"/>
      <c r="AD322" s="29"/>
      <c r="AE322" s="29"/>
      <c r="AF322" s="29"/>
      <c r="AG322" s="29"/>
      <c r="AH322" s="29"/>
      <c r="AI322" s="29"/>
      <c r="AJ322" s="29"/>
      <c r="AK322" s="29"/>
      <c r="AL322" s="29"/>
      <c r="AM322" s="29"/>
      <c r="AN322" s="29"/>
      <c r="AO322" s="29"/>
      <c r="AP322" s="29"/>
      <c r="AQ322" s="29"/>
      <c r="AR322" s="29"/>
      <c r="AS322" s="29"/>
      <c r="AT322" s="29"/>
      <c r="AU322" s="29"/>
      <c r="AV322" s="29"/>
      <c r="AW322" s="29"/>
      <c r="AX322" s="29"/>
      <c r="AY322" s="29"/>
      <c r="AZ322" s="29"/>
      <c r="BA322" s="29"/>
      <c r="BB322" s="29"/>
      <c r="BC322" s="29"/>
      <c r="BD322" s="29"/>
    </row>
    <row r="323" spans="1:56" customFormat="1" x14ac:dyDescent="0.35">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c r="AI323" s="29"/>
      <c r="AJ323" s="29"/>
      <c r="AK323" s="29"/>
      <c r="AL323" s="29"/>
      <c r="AM323" s="29"/>
      <c r="AN323" s="29"/>
      <c r="AO323" s="29"/>
      <c r="AP323" s="29"/>
      <c r="AQ323" s="29"/>
      <c r="AR323" s="29"/>
      <c r="AS323" s="29"/>
      <c r="AT323" s="29"/>
      <c r="AU323" s="29"/>
      <c r="AV323" s="29"/>
      <c r="AW323" s="29"/>
      <c r="AX323" s="29"/>
      <c r="AY323" s="29"/>
      <c r="AZ323" s="29"/>
      <c r="BA323" s="29"/>
      <c r="BB323" s="29"/>
      <c r="BC323" s="29"/>
      <c r="BD323" s="29"/>
    </row>
    <row r="324" spans="1:56" customFormat="1" x14ac:dyDescent="0.35">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c r="AA324" s="29"/>
      <c r="AB324" s="29"/>
      <c r="AC324" s="29"/>
      <c r="AD324" s="29"/>
      <c r="AE324" s="29"/>
      <c r="AF324" s="29"/>
      <c r="AG324" s="29"/>
      <c r="AH324" s="29"/>
      <c r="AI324" s="29"/>
      <c r="AJ324" s="29"/>
      <c r="AK324" s="29"/>
      <c r="AL324" s="29"/>
      <c r="AM324" s="29"/>
      <c r="AN324" s="29"/>
      <c r="AO324" s="29"/>
      <c r="AP324" s="29"/>
      <c r="AQ324" s="29"/>
      <c r="AR324" s="29"/>
      <c r="AS324" s="29"/>
      <c r="AT324" s="29"/>
      <c r="AU324" s="29"/>
      <c r="AV324" s="29"/>
      <c r="AW324" s="29"/>
      <c r="AX324" s="29"/>
      <c r="AY324" s="29"/>
      <c r="AZ324" s="29"/>
      <c r="BA324" s="29"/>
      <c r="BB324" s="29"/>
      <c r="BC324" s="29"/>
      <c r="BD324" s="29"/>
    </row>
    <row r="325" spans="1:56" customFormat="1" x14ac:dyDescent="0.35">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c r="AA325" s="29"/>
      <c r="AB325" s="29"/>
      <c r="AC325" s="29"/>
      <c r="AD325" s="29"/>
      <c r="AE325" s="29"/>
      <c r="AF325" s="29"/>
      <c r="AG325" s="29"/>
      <c r="AH325" s="29"/>
      <c r="AI325" s="29"/>
      <c r="AJ325" s="29"/>
      <c r="AK325" s="29"/>
      <c r="AL325" s="29"/>
      <c r="AM325" s="29"/>
      <c r="AN325" s="29"/>
      <c r="AO325" s="29"/>
      <c r="AP325" s="29"/>
      <c r="AQ325" s="29"/>
      <c r="AR325" s="29"/>
      <c r="AS325" s="29"/>
      <c r="AT325" s="29"/>
      <c r="AU325" s="29"/>
      <c r="AV325" s="29"/>
      <c r="AW325" s="29"/>
      <c r="AX325" s="29"/>
      <c r="AY325" s="29"/>
      <c r="AZ325" s="29"/>
      <c r="BA325" s="29"/>
      <c r="BB325" s="29"/>
      <c r="BC325" s="29"/>
      <c r="BD325" s="29"/>
    </row>
    <row r="326" spans="1:56" customFormat="1" x14ac:dyDescent="0.35">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c r="AA326" s="29"/>
      <c r="AB326" s="29"/>
      <c r="AC326" s="29"/>
      <c r="AD326" s="29"/>
      <c r="AE326" s="29"/>
      <c r="AF326" s="29"/>
      <c r="AG326" s="29"/>
      <c r="AH326" s="29"/>
      <c r="AI326" s="29"/>
      <c r="AJ326" s="29"/>
      <c r="AK326" s="29"/>
      <c r="AL326" s="29"/>
      <c r="AM326" s="29"/>
      <c r="AN326" s="29"/>
      <c r="AO326" s="29"/>
      <c r="AP326" s="29"/>
      <c r="AQ326" s="29"/>
      <c r="AR326" s="29"/>
      <c r="AS326" s="29"/>
      <c r="AT326" s="29"/>
      <c r="AU326" s="29"/>
      <c r="AV326" s="29"/>
      <c r="AW326" s="29"/>
      <c r="AX326" s="29"/>
      <c r="AY326" s="29"/>
      <c r="AZ326" s="29"/>
      <c r="BA326" s="29"/>
      <c r="BB326" s="29"/>
      <c r="BC326" s="29"/>
      <c r="BD326" s="29"/>
    </row>
    <row r="327" spans="1:56" customFormat="1" x14ac:dyDescent="0.35">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c r="AA327" s="29"/>
      <c r="AB327" s="29"/>
      <c r="AC327" s="29"/>
      <c r="AD327" s="29"/>
      <c r="AE327" s="29"/>
      <c r="AF327" s="29"/>
      <c r="AG327" s="29"/>
      <c r="AH327" s="29"/>
      <c r="AI327" s="29"/>
      <c r="AJ327" s="29"/>
      <c r="AK327" s="29"/>
      <c r="AL327" s="29"/>
      <c r="AM327" s="29"/>
      <c r="AN327" s="29"/>
      <c r="AO327" s="29"/>
      <c r="AP327" s="29"/>
      <c r="AQ327" s="29"/>
      <c r="AR327" s="29"/>
      <c r="AS327" s="29"/>
      <c r="AT327" s="29"/>
      <c r="AU327" s="29"/>
      <c r="AV327" s="29"/>
      <c r="AW327" s="29"/>
      <c r="AX327" s="29"/>
      <c r="AY327" s="29"/>
      <c r="AZ327" s="29"/>
      <c r="BA327" s="29"/>
      <c r="BB327" s="29"/>
      <c r="BC327" s="29"/>
      <c r="BD327" s="29"/>
    </row>
    <row r="328" spans="1:56" customFormat="1" x14ac:dyDescent="0.35">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c r="AA328" s="29"/>
      <c r="AB328" s="29"/>
      <c r="AC328" s="29"/>
      <c r="AD328" s="29"/>
      <c r="AE328" s="29"/>
      <c r="AF328" s="29"/>
      <c r="AG328" s="29"/>
      <c r="AH328" s="29"/>
      <c r="AI328" s="29"/>
      <c r="AJ328" s="29"/>
      <c r="AK328" s="29"/>
      <c r="AL328" s="29"/>
      <c r="AM328" s="29"/>
      <c r="AN328" s="29"/>
      <c r="AO328" s="29"/>
      <c r="AP328" s="29"/>
      <c r="AQ328" s="29"/>
      <c r="AR328" s="29"/>
      <c r="AS328" s="29"/>
      <c r="AT328" s="29"/>
      <c r="AU328" s="29"/>
      <c r="AV328" s="29"/>
      <c r="AW328" s="29"/>
      <c r="AX328" s="29"/>
      <c r="AY328" s="29"/>
      <c r="AZ328" s="29"/>
      <c r="BA328" s="29"/>
      <c r="BB328" s="29"/>
      <c r="BC328" s="29"/>
      <c r="BD328" s="29"/>
    </row>
    <row r="329" spans="1:56" customFormat="1" x14ac:dyDescent="0.35">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c r="AA329" s="29"/>
      <c r="AB329" s="29"/>
      <c r="AC329" s="29"/>
      <c r="AD329" s="29"/>
      <c r="AE329" s="29"/>
      <c r="AF329" s="29"/>
      <c r="AG329" s="29"/>
      <c r="AH329" s="29"/>
      <c r="AI329" s="29"/>
      <c r="AJ329" s="29"/>
      <c r="AK329" s="29"/>
      <c r="AL329" s="29"/>
      <c r="AM329" s="29"/>
      <c r="AN329" s="29"/>
      <c r="AO329" s="29"/>
      <c r="AP329" s="29"/>
      <c r="AQ329" s="29"/>
      <c r="AR329" s="29"/>
      <c r="AS329" s="29"/>
      <c r="AT329" s="29"/>
      <c r="AU329" s="29"/>
      <c r="AV329" s="29"/>
      <c r="AW329" s="29"/>
      <c r="AX329" s="29"/>
      <c r="AY329" s="29"/>
      <c r="AZ329" s="29"/>
      <c r="BA329" s="29"/>
      <c r="BB329" s="29"/>
      <c r="BC329" s="29"/>
      <c r="BD329" s="29"/>
    </row>
    <row r="330" spans="1:56" customFormat="1" x14ac:dyDescent="0.35">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c r="AA330" s="29"/>
      <c r="AB330" s="29"/>
      <c r="AC330" s="29"/>
      <c r="AD330" s="29"/>
      <c r="AE330" s="29"/>
      <c r="AF330" s="29"/>
      <c r="AG330" s="29"/>
      <c r="AH330" s="29"/>
      <c r="AI330" s="29"/>
      <c r="AJ330" s="29"/>
      <c r="AK330" s="29"/>
      <c r="AL330" s="29"/>
      <c r="AM330" s="29"/>
      <c r="AN330" s="29"/>
      <c r="AO330" s="29"/>
      <c r="AP330" s="29"/>
      <c r="AQ330" s="29"/>
      <c r="AR330" s="29"/>
      <c r="AS330" s="29"/>
      <c r="AT330" s="29"/>
      <c r="AU330" s="29"/>
      <c r="AV330" s="29"/>
      <c r="AW330" s="29"/>
      <c r="AX330" s="29"/>
      <c r="AY330" s="29"/>
      <c r="AZ330" s="29"/>
      <c r="BA330" s="29"/>
      <c r="BB330" s="29"/>
      <c r="BC330" s="29"/>
      <c r="BD330" s="29"/>
    </row>
    <row r="331" spans="1:56" customFormat="1" x14ac:dyDescent="0.35">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c r="AA331" s="29"/>
      <c r="AB331" s="29"/>
      <c r="AC331" s="29"/>
      <c r="AD331" s="29"/>
      <c r="AE331" s="29"/>
      <c r="AF331" s="29"/>
      <c r="AG331" s="29"/>
      <c r="AH331" s="29"/>
      <c r="AI331" s="29"/>
      <c r="AJ331" s="29"/>
      <c r="AK331" s="29"/>
      <c r="AL331" s="29"/>
      <c r="AM331" s="29"/>
      <c r="AN331" s="29"/>
      <c r="AO331" s="29"/>
      <c r="AP331" s="29"/>
      <c r="AQ331" s="29"/>
      <c r="AR331" s="29"/>
      <c r="AS331" s="29"/>
      <c r="AT331" s="29"/>
      <c r="AU331" s="29"/>
      <c r="AV331" s="29"/>
      <c r="AW331" s="29"/>
      <c r="AX331" s="29"/>
      <c r="AY331" s="29"/>
      <c r="AZ331" s="29"/>
      <c r="BA331" s="29"/>
      <c r="BB331" s="29"/>
      <c r="BC331" s="29"/>
      <c r="BD331" s="29"/>
    </row>
    <row r="332" spans="1:56" customFormat="1" x14ac:dyDescent="0.35">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c r="AA332" s="29"/>
      <c r="AB332" s="29"/>
      <c r="AC332" s="29"/>
      <c r="AD332" s="29"/>
      <c r="AE332" s="29"/>
      <c r="AF332" s="29"/>
      <c r="AG332" s="29"/>
      <c r="AH332" s="29"/>
      <c r="AI332" s="29"/>
      <c r="AJ332" s="29"/>
      <c r="AK332" s="29"/>
      <c r="AL332" s="29"/>
      <c r="AM332" s="29"/>
      <c r="AN332" s="29"/>
      <c r="AO332" s="29"/>
      <c r="AP332" s="29"/>
      <c r="AQ332" s="29"/>
      <c r="AR332" s="29"/>
      <c r="AS332" s="29"/>
      <c r="AT332" s="29"/>
      <c r="AU332" s="29"/>
      <c r="AV332" s="29"/>
      <c r="AW332" s="29"/>
      <c r="AX332" s="29"/>
      <c r="AY332" s="29"/>
      <c r="AZ332" s="29"/>
      <c r="BA332" s="29"/>
      <c r="BB332" s="29"/>
      <c r="BC332" s="29"/>
      <c r="BD332" s="29"/>
    </row>
    <row r="333" spans="1:56" customFormat="1" x14ac:dyDescent="0.35">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c r="AA333" s="29"/>
      <c r="AB333" s="29"/>
      <c r="AC333" s="29"/>
      <c r="AD333" s="29"/>
      <c r="AE333" s="29"/>
      <c r="AF333" s="29"/>
      <c r="AG333" s="29"/>
      <c r="AH333" s="29"/>
      <c r="AI333" s="29"/>
      <c r="AJ333" s="29"/>
      <c r="AK333" s="29"/>
      <c r="AL333" s="29"/>
      <c r="AM333" s="29"/>
      <c r="AN333" s="29"/>
      <c r="AO333" s="29"/>
      <c r="AP333" s="29"/>
      <c r="AQ333" s="29"/>
      <c r="AR333" s="29"/>
      <c r="AS333" s="29"/>
      <c r="AT333" s="29"/>
      <c r="AU333" s="29"/>
      <c r="AV333" s="29"/>
      <c r="AW333" s="29"/>
      <c r="AX333" s="29"/>
      <c r="AY333" s="29"/>
      <c r="AZ333" s="29"/>
      <c r="BA333" s="29"/>
      <c r="BB333" s="29"/>
      <c r="BC333" s="29"/>
      <c r="BD333" s="29"/>
    </row>
    <row r="334" spans="1:56" customFormat="1" x14ac:dyDescent="0.35">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c r="AD334" s="29"/>
      <c r="AE334" s="29"/>
      <c r="AF334" s="29"/>
      <c r="AG334" s="29"/>
      <c r="AH334" s="29"/>
      <c r="AI334" s="29"/>
      <c r="AJ334" s="29"/>
      <c r="AK334" s="29"/>
      <c r="AL334" s="29"/>
      <c r="AM334" s="29"/>
      <c r="AN334" s="29"/>
      <c r="AO334" s="29"/>
      <c r="AP334" s="29"/>
      <c r="AQ334" s="29"/>
      <c r="AR334" s="29"/>
      <c r="AS334" s="29"/>
      <c r="AT334" s="29"/>
      <c r="AU334" s="29"/>
      <c r="AV334" s="29"/>
      <c r="AW334" s="29"/>
      <c r="AX334" s="29"/>
      <c r="AY334" s="29"/>
      <c r="AZ334" s="29"/>
      <c r="BA334" s="29"/>
      <c r="BB334" s="29"/>
      <c r="BC334" s="29"/>
      <c r="BD334" s="29"/>
    </row>
    <row r="335" spans="1:56" customFormat="1" x14ac:dyDescent="0.35">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c r="AA335" s="29"/>
      <c r="AB335" s="29"/>
      <c r="AC335" s="29"/>
      <c r="AD335" s="29"/>
      <c r="AE335" s="29"/>
      <c r="AF335" s="29"/>
      <c r="AG335" s="29"/>
      <c r="AH335" s="29"/>
      <c r="AI335" s="29"/>
      <c r="AJ335" s="29"/>
      <c r="AK335" s="29"/>
      <c r="AL335" s="29"/>
      <c r="AM335" s="29"/>
      <c r="AN335" s="29"/>
      <c r="AO335" s="29"/>
      <c r="AP335" s="29"/>
      <c r="AQ335" s="29"/>
      <c r="AR335" s="29"/>
      <c r="AS335" s="29"/>
      <c r="AT335" s="29"/>
      <c r="AU335" s="29"/>
      <c r="AV335" s="29"/>
      <c r="AW335" s="29"/>
      <c r="AX335" s="29"/>
      <c r="AY335" s="29"/>
      <c r="AZ335" s="29"/>
      <c r="BA335" s="29"/>
      <c r="BB335" s="29"/>
      <c r="BC335" s="29"/>
      <c r="BD335" s="29"/>
    </row>
    <row r="336" spans="1:56" customFormat="1" x14ac:dyDescent="0.35">
      <c r="A336" s="29"/>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c r="AA336" s="29"/>
      <c r="AB336" s="29"/>
      <c r="AC336" s="29"/>
      <c r="AD336" s="29"/>
      <c r="AE336" s="29"/>
      <c r="AF336" s="29"/>
      <c r="AG336" s="29"/>
      <c r="AH336" s="29"/>
      <c r="AI336" s="29"/>
      <c r="AJ336" s="29"/>
      <c r="AK336" s="29"/>
      <c r="AL336" s="29"/>
      <c r="AM336" s="29"/>
      <c r="AN336" s="29"/>
      <c r="AO336" s="29"/>
      <c r="AP336" s="29"/>
      <c r="AQ336" s="29"/>
      <c r="AR336" s="29"/>
      <c r="AS336" s="29"/>
      <c r="AT336" s="29"/>
      <c r="AU336" s="29"/>
      <c r="AV336" s="29"/>
      <c r="AW336" s="29"/>
      <c r="AX336" s="29"/>
      <c r="AY336" s="29"/>
      <c r="AZ336" s="29"/>
      <c r="BA336" s="29"/>
      <c r="BB336" s="29"/>
      <c r="BC336" s="29"/>
      <c r="BD336" s="29"/>
    </row>
    <row r="337" spans="1:56" customFormat="1" x14ac:dyDescent="0.35">
      <c r="A337" s="29"/>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c r="AD337" s="29"/>
      <c r="AE337" s="29"/>
      <c r="AF337" s="29"/>
      <c r="AG337" s="29"/>
      <c r="AH337" s="29"/>
      <c r="AI337" s="29"/>
      <c r="AJ337" s="29"/>
      <c r="AK337" s="29"/>
      <c r="AL337" s="29"/>
      <c r="AM337" s="29"/>
      <c r="AN337" s="29"/>
      <c r="AO337" s="29"/>
      <c r="AP337" s="29"/>
      <c r="AQ337" s="29"/>
      <c r="AR337" s="29"/>
      <c r="AS337" s="29"/>
      <c r="AT337" s="29"/>
      <c r="AU337" s="29"/>
      <c r="AV337" s="29"/>
      <c r="AW337" s="29"/>
      <c r="AX337" s="29"/>
      <c r="AY337" s="29"/>
      <c r="AZ337" s="29"/>
      <c r="BA337" s="29"/>
      <c r="BB337" s="29"/>
      <c r="BC337" s="29"/>
      <c r="BD337" s="29"/>
    </row>
    <row r="338" spans="1:56" customFormat="1" x14ac:dyDescent="0.35">
      <c r="A338" s="29"/>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c r="AA338" s="29"/>
      <c r="AB338" s="29"/>
      <c r="AC338" s="29"/>
      <c r="AD338" s="29"/>
      <c r="AE338" s="29"/>
      <c r="AF338" s="29"/>
      <c r="AG338" s="29"/>
      <c r="AH338" s="29"/>
      <c r="AI338" s="29"/>
      <c r="AJ338" s="29"/>
      <c r="AK338" s="29"/>
      <c r="AL338" s="29"/>
      <c r="AM338" s="29"/>
      <c r="AN338" s="29"/>
      <c r="AO338" s="29"/>
      <c r="AP338" s="29"/>
      <c r="AQ338" s="29"/>
      <c r="AR338" s="29"/>
      <c r="AS338" s="29"/>
      <c r="AT338" s="29"/>
      <c r="AU338" s="29"/>
      <c r="AV338" s="29"/>
      <c r="AW338" s="29"/>
      <c r="AX338" s="29"/>
      <c r="AY338" s="29"/>
      <c r="AZ338" s="29"/>
      <c r="BA338" s="29"/>
      <c r="BB338" s="29"/>
      <c r="BC338" s="29"/>
      <c r="BD338" s="29"/>
    </row>
    <row r="339" spans="1:56" customFormat="1" x14ac:dyDescent="0.35">
      <c r="A339" s="29"/>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c r="AA339" s="29"/>
      <c r="AB339" s="29"/>
      <c r="AC339" s="29"/>
      <c r="AD339" s="29"/>
      <c r="AE339" s="29"/>
      <c r="AF339" s="29"/>
      <c r="AG339" s="29"/>
      <c r="AH339" s="29"/>
      <c r="AI339" s="29"/>
      <c r="AJ339" s="29"/>
      <c r="AK339" s="29"/>
      <c r="AL339" s="29"/>
      <c r="AM339" s="29"/>
      <c r="AN339" s="29"/>
      <c r="AO339" s="29"/>
      <c r="AP339" s="29"/>
      <c r="AQ339" s="29"/>
      <c r="AR339" s="29"/>
      <c r="AS339" s="29"/>
      <c r="AT339" s="29"/>
      <c r="AU339" s="29"/>
      <c r="AV339" s="29"/>
      <c r="AW339" s="29"/>
      <c r="AX339" s="29"/>
      <c r="AY339" s="29"/>
      <c r="AZ339" s="29"/>
      <c r="BA339" s="29"/>
      <c r="BB339" s="29"/>
      <c r="BC339" s="29"/>
      <c r="BD339" s="29"/>
    </row>
    <row r="340" spans="1:56" customFormat="1" x14ac:dyDescent="0.35">
      <c r="A340" s="29"/>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c r="AA340" s="29"/>
      <c r="AB340" s="29"/>
      <c r="AC340" s="29"/>
      <c r="AD340" s="29"/>
      <c r="AE340" s="29"/>
      <c r="AF340" s="29"/>
      <c r="AG340" s="29"/>
      <c r="AH340" s="29"/>
      <c r="AI340" s="29"/>
      <c r="AJ340" s="29"/>
      <c r="AK340" s="29"/>
      <c r="AL340" s="29"/>
      <c r="AM340" s="29"/>
      <c r="AN340" s="29"/>
      <c r="AO340" s="29"/>
      <c r="AP340" s="29"/>
      <c r="AQ340" s="29"/>
      <c r="AR340" s="29"/>
      <c r="AS340" s="29"/>
      <c r="AT340" s="29"/>
      <c r="AU340" s="29"/>
      <c r="AV340" s="29"/>
      <c r="AW340" s="29"/>
      <c r="AX340" s="29"/>
      <c r="AY340" s="29"/>
      <c r="AZ340" s="29"/>
      <c r="BA340" s="29"/>
      <c r="BB340" s="29"/>
      <c r="BC340" s="29"/>
      <c r="BD340" s="29"/>
    </row>
    <row r="341" spans="1:56" customFormat="1" x14ac:dyDescent="0.35">
      <c r="A341" s="29"/>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c r="AA341" s="29"/>
      <c r="AB341" s="29"/>
      <c r="AC341" s="29"/>
      <c r="AD341" s="29"/>
      <c r="AE341" s="29"/>
      <c r="AF341" s="29"/>
      <c r="AG341" s="29"/>
      <c r="AH341" s="29"/>
      <c r="AI341" s="29"/>
      <c r="AJ341" s="29"/>
      <c r="AK341" s="29"/>
      <c r="AL341" s="29"/>
      <c r="AM341" s="29"/>
      <c r="AN341" s="29"/>
      <c r="AO341" s="29"/>
      <c r="AP341" s="29"/>
      <c r="AQ341" s="29"/>
      <c r="AR341" s="29"/>
      <c r="AS341" s="29"/>
      <c r="AT341" s="29"/>
      <c r="AU341" s="29"/>
      <c r="AV341" s="29"/>
      <c r="AW341" s="29"/>
      <c r="AX341" s="29"/>
      <c r="AY341" s="29"/>
      <c r="AZ341" s="29"/>
      <c r="BA341" s="29"/>
      <c r="BB341" s="29"/>
      <c r="BC341" s="29"/>
      <c r="BD341" s="29"/>
    </row>
    <row r="342" spans="1:56" customFormat="1" x14ac:dyDescent="0.35">
      <c r="A342" s="29"/>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c r="AA342" s="29"/>
      <c r="AB342" s="29"/>
      <c r="AC342" s="29"/>
      <c r="AD342" s="29"/>
      <c r="AE342" s="29"/>
      <c r="AF342" s="29"/>
      <c r="AG342" s="29"/>
      <c r="AH342" s="29"/>
      <c r="AI342" s="29"/>
      <c r="AJ342" s="29"/>
      <c r="AK342" s="29"/>
      <c r="AL342" s="29"/>
      <c r="AM342" s="29"/>
      <c r="AN342" s="29"/>
      <c r="AO342" s="29"/>
      <c r="AP342" s="29"/>
      <c r="AQ342" s="29"/>
      <c r="AR342" s="29"/>
      <c r="AS342" s="29"/>
      <c r="AT342" s="29"/>
      <c r="AU342" s="29"/>
      <c r="AV342" s="29"/>
      <c r="AW342" s="29"/>
      <c r="AX342" s="29"/>
      <c r="AY342" s="29"/>
      <c r="AZ342" s="29"/>
      <c r="BA342" s="29"/>
      <c r="BB342" s="29"/>
      <c r="BC342" s="29"/>
      <c r="BD342" s="29"/>
    </row>
    <row r="343" spans="1:56" customFormat="1" x14ac:dyDescent="0.35">
      <c r="A343" s="29"/>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c r="AA343" s="29"/>
      <c r="AB343" s="29"/>
      <c r="AC343" s="29"/>
      <c r="AD343" s="29"/>
      <c r="AE343" s="29"/>
      <c r="AF343" s="29"/>
      <c r="AG343" s="29"/>
      <c r="AH343" s="29"/>
      <c r="AI343" s="29"/>
      <c r="AJ343" s="29"/>
      <c r="AK343" s="29"/>
      <c r="AL343" s="29"/>
      <c r="AM343" s="29"/>
      <c r="AN343" s="29"/>
      <c r="AO343" s="29"/>
      <c r="AP343" s="29"/>
      <c r="AQ343" s="29"/>
      <c r="AR343" s="29"/>
      <c r="AS343" s="29"/>
      <c r="AT343" s="29"/>
      <c r="AU343" s="29"/>
      <c r="AV343" s="29"/>
      <c r="AW343" s="29"/>
      <c r="AX343" s="29"/>
      <c r="AY343" s="29"/>
      <c r="AZ343" s="29"/>
      <c r="BA343" s="29"/>
      <c r="BB343" s="29"/>
      <c r="BC343" s="29"/>
      <c r="BD343" s="29"/>
    </row>
    <row r="344" spans="1:56" customFormat="1" x14ac:dyDescent="0.35">
      <c r="A344" s="29"/>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c r="AD344" s="29"/>
      <c r="AE344" s="29"/>
      <c r="AF344" s="29"/>
      <c r="AG344" s="29"/>
      <c r="AH344" s="29"/>
      <c r="AI344" s="29"/>
      <c r="AJ344" s="29"/>
      <c r="AK344" s="29"/>
      <c r="AL344" s="29"/>
      <c r="AM344" s="29"/>
      <c r="AN344" s="29"/>
      <c r="AO344" s="29"/>
      <c r="AP344" s="29"/>
      <c r="AQ344" s="29"/>
      <c r="AR344" s="29"/>
      <c r="AS344" s="29"/>
      <c r="AT344" s="29"/>
      <c r="AU344" s="29"/>
      <c r="AV344" s="29"/>
      <c r="AW344" s="29"/>
      <c r="AX344" s="29"/>
      <c r="AY344" s="29"/>
      <c r="AZ344" s="29"/>
      <c r="BA344" s="29"/>
      <c r="BB344" s="29"/>
      <c r="BC344" s="29"/>
      <c r="BD344" s="29"/>
    </row>
    <row r="345" spans="1:56" customFormat="1" x14ac:dyDescent="0.35">
      <c r="A345" s="29"/>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c r="AA345" s="29"/>
      <c r="AB345" s="29"/>
      <c r="AC345" s="29"/>
      <c r="AD345" s="29"/>
      <c r="AE345" s="29"/>
      <c r="AF345" s="29"/>
      <c r="AG345" s="29"/>
      <c r="AH345" s="29"/>
      <c r="AI345" s="29"/>
      <c r="AJ345" s="29"/>
      <c r="AK345" s="29"/>
      <c r="AL345" s="29"/>
      <c r="AM345" s="29"/>
      <c r="AN345" s="29"/>
      <c r="AO345" s="29"/>
      <c r="AP345" s="29"/>
      <c r="AQ345" s="29"/>
      <c r="AR345" s="29"/>
      <c r="AS345" s="29"/>
      <c r="AT345" s="29"/>
      <c r="AU345" s="29"/>
      <c r="AV345" s="29"/>
      <c r="AW345" s="29"/>
      <c r="AX345" s="29"/>
      <c r="AY345" s="29"/>
      <c r="AZ345" s="29"/>
      <c r="BA345" s="29"/>
      <c r="BB345" s="29"/>
      <c r="BC345" s="29"/>
      <c r="BD345" s="29"/>
    </row>
    <row r="346" spans="1:56" customFormat="1" x14ac:dyDescent="0.35">
      <c r="A346" s="29"/>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c r="AA346" s="29"/>
      <c r="AB346" s="29"/>
      <c r="AC346" s="29"/>
      <c r="AD346" s="29"/>
      <c r="AE346" s="29"/>
      <c r="AF346" s="29"/>
      <c r="AG346" s="29"/>
      <c r="AH346" s="29"/>
      <c r="AI346" s="29"/>
      <c r="AJ346" s="29"/>
      <c r="AK346" s="29"/>
      <c r="AL346" s="29"/>
      <c r="AM346" s="29"/>
      <c r="AN346" s="29"/>
      <c r="AO346" s="29"/>
      <c r="AP346" s="29"/>
      <c r="AQ346" s="29"/>
      <c r="AR346" s="29"/>
      <c r="AS346" s="29"/>
      <c r="AT346" s="29"/>
      <c r="AU346" s="29"/>
      <c r="AV346" s="29"/>
      <c r="AW346" s="29"/>
      <c r="AX346" s="29"/>
      <c r="AY346" s="29"/>
      <c r="AZ346" s="29"/>
      <c r="BA346" s="29"/>
      <c r="BB346" s="29"/>
      <c r="BC346" s="29"/>
      <c r="BD346" s="29"/>
    </row>
    <row r="347" spans="1:56" customFormat="1" x14ac:dyDescent="0.35">
      <c r="A347" s="29"/>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29"/>
      <c r="AL347" s="29"/>
      <c r="AM347" s="29"/>
      <c r="AN347" s="29"/>
      <c r="AO347" s="29"/>
      <c r="AP347" s="29"/>
      <c r="AQ347" s="29"/>
      <c r="AR347" s="29"/>
      <c r="AS347" s="29"/>
      <c r="AT347" s="29"/>
      <c r="AU347" s="29"/>
      <c r="AV347" s="29"/>
      <c r="AW347" s="29"/>
      <c r="AX347" s="29"/>
      <c r="AY347" s="29"/>
      <c r="AZ347" s="29"/>
      <c r="BA347" s="29"/>
      <c r="BB347" s="29"/>
      <c r="BC347" s="29"/>
      <c r="BD347" s="29"/>
    </row>
    <row r="348" spans="1:56" customFormat="1" x14ac:dyDescent="0.35">
      <c r="A348" s="29"/>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c r="AA348" s="29"/>
      <c r="AB348" s="29"/>
      <c r="AC348" s="29"/>
      <c r="AD348" s="29"/>
      <c r="AE348" s="29"/>
      <c r="AF348" s="29"/>
      <c r="AG348" s="29"/>
      <c r="AH348" s="29"/>
      <c r="AI348" s="29"/>
      <c r="AJ348" s="29"/>
      <c r="AK348" s="29"/>
      <c r="AL348" s="29"/>
      <c r="AM348" s="29"/>
      <c r="AN348" s="29"/>
      <c r="AO348" s="29"/>
      <c r="AP348" s="29"/>
      <c r="AQ348" s="29"/>
      <c r="AR348" s="29"/>
      <c r="AS348" s="29"/>
      <c r="AT348" s="29"/>
      <c r="AU348" s="29"/>
      <c r="AV348" s="29"/>
      <c r="AW348" s="29"/>
      <c r="AX348" s="29"/>
      <c r="AY348" s="29"/>
      <c r="AZ348" s="29"/>
      <c r="BA348" s="29"/>
      <c r="BB348" s="29"/>
      <c r="BC348" s="29"/>
      <c r="BD348" s="29"/>
    </row>
    <row r="349" spans="1:56" customFormat="1" x14ac:dyDescent="0.35">
      <c r="A349" s="29"/>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c r="AA349" s="29"/>
      <c r="AB349" s="29"/>
      <c r="AC349" s="29"/>
      <c r="AD349" s="29"/>
      <c r="AE349" s="29"/>
      <c r="AF349" s="29"/>
      <c r="AG349" s="29"/>
      <c r="AH349" s="29"/>
      <c r="AI349" s="29"/>
      <c r="AJ349" s="29"/>
      <c r="AK349" s="29"/>
      <c r="AL349" s="29"/>
      <c r="AM349" s="29"/>
      <c r="AN349" s="29"/>
      <c r="AO349" s="29"/>
      <c r="AP349" s="29"/>
      <c r="AQ349" s="29"/>
      <c r="AR349" s="29"/>
      <c r="AS349" s="29"/>
      <c r="AT349" s="29"/>
      <c r="AU349" s="29"/>
      <c r="AV349" s="29"/>
      <c r="AW349" s="29"/>
      <c r="AX349" s="29"/>
      <c r="AY349" s="29"/>
      <c r="AZ349" s="29"/>
      <c r="BA349" s="29"/>
      <c r="BB349" s="29"/>
      <c r="BC349" s="29"/>
      <c r="BD349" s="29"/>
    </row>
    <row r="350" spans="1:56" customFormat="1" x14ac:dyDescent="0.35">
      <c r="A350" s="29"/>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c r="AA350" s="29"/>
      <c r="AB350" s="29"/>
      <c r="AC350" s="29"/>
      <c r="AD350" s="29"/>
      <c r="AE350" s="29"/>
      <c r="AF350" s="29"/>
      <c r="AG350" s="29"/>
      <c r="AH350" s="29"/>
      <c r="AI350" s="29"/>
      <c r="AJ350" s="29"/>
      <c r="AK350" s="29"/>
      <c r="AL350" s="29"/>
      <c r="AM350" s="29"/>
      <c r="AN350" s="29"/>
      <c r="AO350" s="29"/>
      <c r="AP350" s="29"/>
      <c r="AQ350" s="29"/>
      <c r="AR350" s="29"/>
      <c r="AS350" s="29"/>
      <c r="AT350" s="29"/>
      <c r="AU350" s="29"/>
      <c r="AV350" s="29"/>
      <c r="AW350" s="29"/>
      <c r="AX350" s="29"/>
      <c r="AY350" s="29"/>
      <c r="AZ350" s="29"/>
      <c r="BA350" s="29"/>
      <c r="BB350" s="29"/>
      <c r="BC350" s="29"/>
      <c r="BD350" s="29"/>
    </row>
    <row r="351" spans="1:56" customFormat="1" x14ac:dyDescent="0.35">
      <c r="A351" s="29"/>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c r="AA351" s="29"/>
      <c r="AB351" s="29"/>
      <c r="AC351" s="29"/>
      <c r="AD351" s="29"/>
      <c r="AE351" s="29"/>
      <c r="AF351" s="29"/>
      <c r="AG351" s="29"/>
      <c r="AH351" s="29"/>
      <c r="AI351" s="29"/>
      <c r="AJ351" s="29"/>
      <c r="AK351" s="29"/>
      <c r="AL351" s="29"/>
      <c r="AM351" s="29"/>
      <c r="AN351" s="29"/>
      <c r="AO351" s="29"/>
      <c r="AP351" s="29"/>
      <c r="AQ351" s="29"/>
      <c r="AR351" s="29"/>
      <c r="AS351" s="29"/>
      <c r="AT351" s="29"/>
      <c r="AU351" s="29"/>
      <c r="AV351" s="29"/>
      <c r="AW351" s="29"/>
      <c r="AX351" s="29"/>
      <c r="AY351" s="29"/>
      <c r="AZ351" s="29"/>
      <c r="BA351" s="29"/>
      <c r="BB351" s="29"/>
      <c r="BC351" s="29"/>
      <c r="BD351" s="29"/>
    </row>
    <row r="352" spans="1:56" customFormat="1" x14ac:dyDescent="0.35">
      <c r="A352" s="29"/>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c r="AA352" s="29"/>
      <c r="AB352" s="29"/>
      <c r="AC352" s="29"/>
      <c r="AD352" s="29"/>
      <c r="AE352" s="29"/>
      <c r="AF352" s="29"/>
      <c r="AG352" s="29"/>
      <c r="AH352" s="29"/>
      <c r="AI352" s="29"/>
      <c r="AJ352" s="29"/>
      <c r="AK352" s="29"/>
      <c r="AL352" s="29"/>
      <c r="AM352" s="29"/>
      <c r="AN352" s="29"/>
      <c r="AO352" s="29"/>
      <c r="AP352" s="29"/>
      <c r="AQ352" s="29"/>
      <c r="AR352" s="29"/>
      <c r="AS352" s="29"/>
      <c r="AT352" s="29"/>
      <c r="AU352" s="29"/>
      <c r="AV352" s="29"/>
      <c r="AW352" s="29"/>
      <c r="AX352" s="29"/>
      <c r="AY352" s="29"/>
      <c r="AZ352" s="29"/>
      <c r="BA352" s="29"/>
      <c r="BB352" s="29"/>
      <c r="BC352" s="29"/>
      <c r="BD352" s="29"/>
    </row>
    <row r="353" spans="1:56" customFormat="1" x14ac:dyDescent="0.35">
      <c r="A353" s="29"/>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c r="AA353" s="29"/>
      <c r="AB353" s="29"/>
      <c r="AC353" s="29"/>
      <c r="AD353" s="29"/>
      <c r="AE353" s="29"/>
      <c r="AF353" s="29"/>
      <c r="AG353" s="29"/>
      <c r="AH353" s="29"/>
      <c r="AI353" s="29"/>
      <c r="AJ353" s="29"/>
      <c r="AK353" s="29"/>
      <c r="AL353" s="29"/>
      <c r="AM353" s="29"/>
      <c r="AN353" s="29"/>
      <c r="AO353" s="29"/>
      <c r="AP353" s="29"/>
      <c r="AQ353" s="29"/>
      <c r="AR353" s="29"/>
      <c r="AS353" s="29"/>
      <c r="AT353" s="29"/>
      <c r="AU353" s="29"/>
      <c r="AV353" s="29"/>
      <c r="AW353" s="29"/>
      <c r="AX353" s="29"/>
      <c r="AY353" s="29"/>
      <c r="AZ353" s="29"/>
      <c r="BA353" s="29"/>
      <c r="BB353" s="29"/>
      <c r="BC353" s="29"/>
      <c r="BD353" s="29"/>
    </row>
    <row r="354" spans="1:56" customFormat="1" x14ac:dyDescent="0.35">
      <c r="A354" s="29"/>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c r="AD354" s="29"/>
      <c r="AE354" s="29"/>
      <c r="AF354" s="29"/>
      <c r="AG354" s="29"/>
      <c r="AH354" s="29"/>
      <c r="AI354" s="29"/>
      <c r="AJ354" s="29"/>
      <c r="AK354" s="29"/>
      <c r="AL354" s="29"/>
      <c r="AM354" s="29"/>
      <c r="AN354" s="29"/>
      <c r="AO354" s="29"/>
      <c r="AP354" s="29"/>
      <c r="AQ354" s="29"/>
      <c r="AR354" s="29"/>
      <c r="AS354" s="29"/>
      <c r="AT354" s="29"/>
      <c r="AU354" s="29"/>
      <c r="AV354" s="29"/>
      <c r="AW354" s="29"/>
      <c r="AX354" s="29"/>
      <c r="AY354" s="29"/>
      <c r="AZ354" s="29"/>
      <c r="BA354" s="29"/>
      <c r="BB354" s="29"/>
      <c r="BC354" s="29"/>
      <c r="BD354" s="29"/>
    </row>
    <row r="355" spans="1:56" customFormat="1" x14ac:dyDescent="0.35">
      <c r="A355" s="29"/>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29"/>
      <c r="AL355" s="29"/>
      <c r="AM355" s="29"/>
      <c r="AN355" s="29"/>
      <c r="AO355" s="29"/>
      <c r="AP355" s="29"/>
      <c r="AQ355" s="29"/>
      <c r="AR355" s="29"/>
      <c r="AS355" s="29"/>
      <c r="AT355" s="29"/>
      <c r="AU355" s="29"/>
      <c r="AV355" s="29"/>
      <c r="AW355" s="29"/>
      <c r="AX355" s="29"/>
      <c r="AY355" s="29"/>
      <c r="AZ355" s="29"/>
      <c r="BA355" s="29"/>
      <c r="BB355" s="29"/>
      <c r="BC355" s="29"/>
      <c r="BD355" s="29"/>
    </row>
    <row r="356" spans="1:56" customFormat="1" x14ac:dyDescent="0.35">
      <c r="A356" s="29"/>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c r="AA356" s="29"/>
      <c r="AB356" s="29"/>
      <c r="AC356" s="29"/>
      <c r="AD356" s="29"/>
      <c r="AE356" s="29"/>
      <c r="AF356" s="29"/>
      <c r="AG356" s="29"/>
      <c r="AH356" s="29"/>
      <c r="AI356" s="29"/>
      <c r="AJ356" s="29"/>
      <c r="AK356" s="29"/>
      <c r="AL356" s="29"/>
      <c r="AM356" s="29"/>
      <c r="AN356" s="29"/>
      <c r="AO356" s="29"/>
      <c r="AP356" s="29"/>
      <c r="AQ356" s="29"/>
      <c r="AR356" s="29"/>
      <c r="AS356" s="29"/>
      <c r="AT356" s="29"/>
      <c r="AU356" s="29"/>
      <c r="AV356" s="29"/>
      <c r="AW356" s="29"/>
      <c r="AX356" s="29"/>
      <c r="AY356" s="29"/>
      <c r="AZ356" s="29"/>
      <c r="BA356" s="29"/>
      <c r="BB356" s="29"/>
      <c r="BC356" s="29"/>
      <c r="BD356" s="29"/>
    </row>
    <row r="357" spans="1:56" customFormat="1" x14ac:dyDescent="0.35"/>
    <row r="358" spans="1:56" customFormat="1" x14ac:dyDescent="0.35"/>
    <row r="359" spans="1:56" customFormat="1" x14ac:dyDescent="0.35"/>
    <row r="360" spans="1:56" customFormat="1" x14ac:dyDescent="0.35"/>
    <row r="361" spans="1:56" customFormat="1" x14ac:dyDescent="0.35"/>
    <row r="362" spans="1:56" customFormat="1" x14ac:dyDescent="0.35"/>
    <row r="363" spans="1:56" customFormat="1" x14ac:dyDescent="0.35"/>
    <row r="364" spans="1:56" customFormat="1" x14ac:dyDescent="0.35"/>
    <row r="365" spans="1:56" customFormat="1" x14ac:dyDescent="0.35"/>
    <row r="366" spans="1:56" customFormat="1" x14ac:dyDescent="0.35"/>
    <row r="367" spans="1:56" customFormat="1" x14ac:dyDescent="0.35"/>
    <row r="368" spans="1:56"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row r="486" customFormat="1" x14ac:dyDescent="0.35"/>
    <row r="487" customFormat="1" x14ac:dyDescent="0.35"/>
    <row r="488" customFormat="1" x14ac:dyDescent="0.35"/>
    <row r="489" customFormat="1" x14ac:dyDescent="0.35"/>
    <row r="490" customFormat="1" x14ac:dyDescent="0.35"/>
    <row r="491" customFormat="1" x14ac:dyDescent="0.35"/>
    <row r="492" customFormat="1" x14ac:dyDescent="0.35"/>
    <row r="493" customFormat="1" x14ac:dyDescent="0.35"/>
    <row r="494" customFormat="1" x14ac:dyDescent="0.35"/>
    <row r="495" customFormat="1" x14ac:dyDescent="0.35"/>
    <row r="496" customFormat="1" x14ac:dyDescent="0.35"/>
    <row r="497" customFormat="1" x14ac:dyDescent="0.35"/>
    <row r="498" customFormat="1" x14ac:dyDescent="0.35"/>
    <row r="499" customFormat="1" x14ac:dyDescent="0.35"/>
    <row r="500" customFormat="1" x14ac:dyDescent="0.35"/>
    <row r="501" customFormat="1" x14ac:dyDescent="0.35"/>
    <row r="502" customFormat="1" x14ac:dyDescent="0.35"/>
    <row r="503" customFormat="1" x14ac:dyDescent="0.35"/>
    <row r="504" customFormat="1" x14ac:dyDescent="0.35"/>
    <row r="505" customFormat="1" x14ac:dyDescent="0.35"/>
    <row r="506" customFormat="1" x14ac:dyDescent="0.35"/>
    <row r="507" customFormat="1" x14ac:dyDescent="0.35"/>
    <row r="508" customFormat="1" x14ac:dyDescent="0.35"/>
    <row r="509" customFormat="1" x14ac:dyDescent="0.35"/>
    <row r="510" customFormat="1" x14ac:dyDescent="0.35"/>
    <row r="511" customFormat="1" x14ac:dyDescent="0.35"/>
    <row r="512" customFormat="1" x14ac:dyDescent="0.35"/>
    <row r="513" customFormat="1" x14ac:dyDescent="0.35"/>
    <row r="514" customFormat="1" x14ac:dyDescent="0.35"/>
    <row r="515" customFormat="1" x14ac:dyDescent="0.35"/>
    <row r="516" customFormat="1" x14ac:dyDescent="0.35"/>
    <row r="517" customFormat="1" x14ac:dyDescent="0.35"/>
    <row r="518" customFormat="1" x14ac:dyDescent="0.35"/>
    <row r="519" customFormat="1" x14ac:dyDescent="0.35"/>
    <row r="520" customFormat="1" x14ac:dyDescent="0.35"/>
    <row r="521" customFormat="1" x14ac:dyDescent="0.35"/>
    <row r="522" customFormat="1" x14ac:dyDescent="0.35"/>
    <row r="523" customFormat="1" x14ac:dyDescent="0.35"/>
    <row r="524" customFormat="1" x14ac:dyDescent="0.35"/>
    <row r="525" customFormat="1" x14ac:dyDescent="0.35"/>
    <row r="526" customFormat="1" x14ac:dyDescent="0.35"/>
    <row r="527" customFormat="1" x14ac:dyDescent="0.35"/>
    <row r="528" customFormat="1" x14ac:dyDescent="0.35"/>
    <row r="529" customFormat="1" x14ac:dyDescent="0.35"/>
    <row r="530" customFormat="1" x14ac:dyDescent="0.35"/>
    <row r="531" customFormat="1" x14ac:dyDescent="0.35"/>
    <row r="532" customFormat="1" x14ac:dyDescent="0.35"/>
    <row r="533" customFormat="1" x14ac:dyDescent="0.35"/>
    <row r="534" customFormat="1" x14ac:dyDescent="0.35"/>
    <row r="535" customFormat="1" x14ac:dyDescent="0.35"/>
    <row r="536" customFormat="1" x14ac:dyDescent="0.35"/>
    <row r="537" customFormat="1" x14ac:dyDescent="0.35"/>
    <row r="538" customFormat="1" x14ac:dyDescent="0.35"/>
    <row r="539" customFormat="1" x14ac:dyDescent="0.35"/>
    <row r="540" customFormat="1" x14ac:dyDescent="0.35"/>
    <row r="541" customFormat="1" x14ac:dyDescent="0.35"/>
    <row r="542" customFormat="1" x14ac:dyDescent="0.35"/>
    <row r="543" customFormat="1" x14ac:dyDescent="0.35"/>
    <row r="544" customFormat="1" x14ac:dyDescent="0.35"/>
    <row r="545" customFormat="1" x14ac:dyDescent="0.35"/>
    <row r="546" customFormat="1" x14ac:dyDescent="0.35"/>
    <row r="547" customFormat="1" x14ac:dyDescent="0.35"/>
    <row r="548" customFormat="1" x14ac:dyDescent="0.35"/>
    <row r="549" customFormat="1" x14ac:dyDescent="0.35"/>
    <row r="550" customFormat="1" x14ac:dyDescent="0.35"/>
    <row r="551" customFormat="1" x14ac:dyDescent="0.35"/>
    <row r="552" customFormat="1" x14ac:dyDescent="0.35"/>
    <row r="553" customFormat="1" x14ac:dyDescent="0.35"/>
    <row r="554" customFormat="1" x14ac:dyDescent="0.35"/>
    <row r="555" customFormat="1" x14ac:dyDescent="0.35"/>
    <row r="556" customFormat="1" x14ac:dyDescent="0.35"/>
    <row r="557" customFormat="1" x14ac:dyDescent="0.35"/>
    <row r="558" customFormat="1" x14ac:dyDescent="0.35"/>
    <row r="559" customFormat="1" x14ac:dyDescent="0.35"/>
    <row r="560" customFormat="1" x14ac:dyDescent="0.35"/>
    <row r="561" customFormat="1" x14ac:dyDescent="0.35"/>
    <row r="562" customFormat="1" x14ac:dyDescent="0.35"/>
    <row r="563" customFormat="1" x14ac:dyDescent="0.35"/>
    <row r="564" customFormat="1" x14ac:dyDescent="0.35"/>
    <row r="565" customFormat="1" x14ac:dyDescent="0.35"/>
    <row r="566" customFormat="1" x14ac:dyDescent="0.35"/>
    <row r="567" customFormat="1" x14ac:dyDescent="0.35"/>
    <row r="568" customFormat="1" x14ac:dyDescent="0.35"/>
    <row r="569" customFormat="1" x14ac:dyDescent="0.35"/>
    <row r="570" customFormat="1" x14ac:dyDescent="0.35"/>
    <row r="571" customFormat="1" x14ac:dyDescent="0.35"/>
    <row r="572" customFormat="1" x14ac:dyDescent="0.35"/>
    <row r="573" customFormat="1" x14ac:dyDescent="0.35"/>
    <row r="574" customFormat="1" x14ac:dyDescent="0.35"/>
    <row r="575" customFormat="1" x14ac:dyDescent="0.35"/>
    <row r="576" customFormat="1" x14ac:dyDescent="0.35"/>
    <row r="577" customFormat="1" x14ac:dyDescent="0.35"/>
    <row r="578" customFormat="1" x14ac:dyDescent="0.35"/>
    <row r="579" customFormat="1" x14ac:dyDescent="0.35"/>
    <row r="580" customFormat="1" x14ac:dyDescent="0.35"/>
    <row r="581" customFormat="1" x14ac:dyDescent="0.35"/>
    <row r="582" customFormat="1" x14ac:dyDescent="0.35"/>
    <row r="583" customFormat="1" x14ac:dyDescent="0.35"/>
    <row r="584" customFormat="1" x14ac:dyDescent="0.35"/>
    <row r="585" customFormat="1" x14ac:dyDescent="0.35"/>
    <row r="586" customFormat="1" x14ac:dyDescent="0.35"/>
    <row r="587" customFormat="1" x14ac:dyDescent="0.35"/>
    <row r="588" customFormat="1" x14ac:dyDescent="0.35"/>
    <row r="589" customFormat="1" x14ac:dyDescent="0.35"/>
    <row r="590" customFormat="1" x14ac:dyDescent="0.35"/>
    <row r="591" customFormat="1" x14ac:dyDescent="0.35"/>
    <row r="592" customFormat="1" x14ac:dyDescent="0.35"/>
    <row r="593" customFormat="1" x14ac:dyDescent="0.35"/>
    <row r="594" customFormat="1" x14ac:dyDescent="0.35"/>
    <row r="595" customFormat="1" x14ac:dyDescent="0.35"/>
    <row r="596" customFormat="1" x14ac:dyDescent="0.35"/>
    <row r="597" customFormat="1" x14ac:dyDescent="0.35"/>
    <row r="598" customFormat="1" x14ac:dyDescent="0.35"/>
    <row r="599" customFormat="1" x14ac:dyDescent="0.35"/>
    <row r="600" customFormat="1" x14ac:dyDescent="0.35"/>
    <row r="601" customFormat="1" x14ac:dyDescent="0.35"/>
    <row r="602" customFormat="1" x14ac:dyDescent="0.35"/>
    <row r="603" customFormat="1" x14ac:dyDescent="0.35"/>
    <row r="604" customFormat="1" x14ac:dyDescent="0.35"/>
    <row r="605" customFormat="1" x14ac:dyDescent="0.35"/>
    <row r="606" customFormat="1" x14ac:dyDescent="0.35"/>
    <row r="607" customFormat="1" x14ac:dyDescent="0.35"/>
    <row r="608" customFormat="1" x14ac:dyDescent="0.35"/>
    <row r="609" customFormat="1" x14ac:dyDescent="0.35"/>
    <row r="610" customFormat="1" x14ac:dyDescent="0.35"/>
    <row r="611" customFormat="1" x14ac:dyDescent="0.35"/>
    <row r="612" customFormat="1" x14ac:dyDescent="0.35"/>
    <row r="613" customFormat="1" x14ac:dyDescent="0.35"/>
    <row r="614" customFormat="1" x14ac:dyDescent="0.35"/>
    <row r="615" customFormat="1" x14ac:dyDescent="0.35"/>
    <row r="616" customFormat="1" x14ac:dyDescent="0.35"/>
    <row r="617" customFormat="1" x14ac:dyDescent="0.35"/>
    <row r="618" customFormat="1" x14ac:dyDescent="0.35"/>
    <row r="619" customFormat="1" x14ac:dyDescent="0.35"/>
    <row r="620" customFormat="1" x14ac:dyDescent="0.35"/>
    <row r="621" customFormat="1" x14ac:dyDescent="0.35"/>
    <row r="622" customFormat="1" x14ac:dyDescent="0.35"/>
    <row r="623" customFormat="1" x14ac:dyDescent="0.35"/>
    <row r="624" customFormat="1" x14ac:dyDescent="0.35"/>
    <row r="625" customFormat="1" x14ac:dyDescent="0.35"/>
    <row r="626" customFormat="1" x14ac:dyDescent="0.35"/>
    <row r="627" customFormat="1" x14ac:dyDescent="0.35"/>
    <row r="628" customFormat="1" x14ac:dyDescent="0.35"/>
    <row r="629" customFormat="1" x14ac:dyDescent="0.35"/>
    <row r="630" customFormat="1" x14ac:dyDescent="0.35"/>
    <row r="631" customFormat="1" x14ac:dyDescent="0.35"/>
    <row r="632" customFormat="1" x14ac:dyDescent="0.35"/>
    <row r="633" customFormat="1" x14ac:dyDescent="0.35"/>
    <row r="634" customFormat="1" x14ac:dyDescent="0.35"/>
    <row r="635" customFormat="1" x14ac:dyDescent="0.35"/>
    <row r="636" customFormat="1" x14ac:dyDescent="0.35"/>
    <row r="637" customFormat="1" x14ac:dyDescent="0.35"/>
    <row r="638" customFormat="1" x14ac:dyDescent="0.35"/>
    <row r="639" customFormat="1" x14ac:dyDescent="0.35"/>
    <row r="640" customFormat="1" x14ac:dyDescent="0.35"/>
    <row r="641" customFormat="1" x14ac:dyDescent="0.35"/>
    <row r="642" customFormat="1" x14ac:dyDescent="0.35"/>
    <row r="643" customFormat="1" x14ac:dyDescent="0.35"/>
    <row r="644" customFormat="1" x14ac:dyDescent="0.35"/>
    <row r="645" customFormat="1" x14ac:dyDescent="0.35"/>
    <row r="646" customFormat="1" x14ac:dyDescent="0.35"/>
    <row r="647" customFormat="1" x14ac:dyDescent="0.35"/>
    <row r="648" customFormat="1" x14ac:dyDescent="0.35"/>
    <row r="649" customFormat="1" x14ac:dyDescent="0.35"/>
    <row r="650" customFormat="1" x14ac:dyDescent="0.35"/>
    <row r="651" customFormat="1" x14ac:dyDescent="0.35"/>
    <row r="652" customFormat="1" x14ac:dyDescent="0.35"/>
    <row r="653" customFormat="1" x14ac:dyDescent="0.35"/>
    <row r="654" customFormat="1" x14ac:dyDescent="0.35"/>
    <row r="655" customFormat="1" x14ac:dyDescent="0.35"/>
    <row r="656" customFormat="1" x14ac:dyDescent="0.35"/>
    <row r="657" customFormat="1" x14ac:dyDescent="0.35"/>
    <row r="658" customFormat="1" x14ac:dyDescent="0.35"/>
    <row r="659" customFormat="1" x14ac:dyDescent="0.35"/>
    <row r="660" customFormat="1" x14ac:dyDescent="0.35"/>
    <row r="661" customFormat="1" x14ac:dyDescent="0.35"/>
    <row r="662" customFormat="1" x14ac:dyDescent="0.35"/>
    <row r="663" customFormat="1" x14ac:dyDescent="0.35"/>
    <row r="664" customFormat="1" x14ac:dyDescent="0.35"/>
    <row r="665" customFormat="1" x14ac:dyDescent="0.35"/>
    <row r="666" customFormat="1" x14ac:dyDescent="0.35"/>
  </sheetData>
  <sheetProtection algorithmName="SHA-512" hashValue="4hNj13/4hUOOC93/DB1fIDHnE7S9eWqZyPwMvdPE+QGGyh5pgLf4m/eP898mqjH8uNARB2xFFRjewJBUpmjtew==" saltValue="S/mb+f0HoFpV++0Spps9DQ==" spinCount="100000" sheet="1" objects="1" scenarios="1"/>
  <autoFilter ref="AE2:AF38" xr:uid="{ED131DB7-E0DB-48C7-B7BF-03F63E5AFE32}">
    <sortState xmlns:xlrd2="http://schemas.microsoft.com/office/spreadsheetml/2017/richdata2" ref="AE3:AF38">
      <sortCondition ref="AE2:AE38"/>
    </sortState>
  </autoFilter>
  <mergeCells count="6">
    <mergeCell ref="F1:G1"/>
    <mergeCell ref="H1:J1"/>
    <mergeCell ref="B1:E1"/>
    <mergeCell ref="AJ1:AJ2"/>
    <mergeCell ref="AK1:AK2"/>
    <mergeCell ref="AH1:AH2"/>
  </mergeCells>
  <conditionalFormatting sqref="AJ7:AL8">
    <cfRule type="containsText" dxfId="1" priority="1" operator="containsText" text="NG">
      <formula>NOT(ISERROR(SEARCH("NG",AJ7)))</formula>
    </cfRule>
    <cfRule type="containsText" dxfId="0" priority="2" operator="containsText" text="OK">
      <formula>NOT(ISERROR(SEARCH("OK",AJ7)))</formula>
    </cfRule>
  </conditionalFormatting>
  <pageMargins left="0.7" right="0.7" top="0.75" bottom="0.75" header="0.3" footer="0.3"/>
  <pageSetup scale="47" fitToHeight="0"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5DE4FD5B3EF2A46BFA6D58E86B0282D" ma:contentTypeVersion="3" ma:contentTypeDescription="Create a new document." ma:contentTypeScope="" ma:versionID="d1c1f000bc32412efdc6ef26cbafd9b9">
  <xsd:schema xmlns:xsd="http://www.w3.org/2001/XMLSchema" xmlns:xs="http://www.w3.org/2001/XMLSchema" xmlns:p="http://schemas.microsoft.com/office/2006/metadata/properties" xmlns:ns1="http://schemas.microsoft.com/sharepoint/v3" targetNamespace="http://schemas.microsoft.com/office/2006/metadata/properties" ma:root="true" ma:fieldsID="48d42ce297a58a80e9db3b80c441a9dd"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383A2FC8-974C-47EC-8083-DA83A1C8BC1A}"/>
</file>

<file path=customXml/itemProps2.xml><?xml version="1.0" encoding="utf-8"?>
<ds:datastoreItem xmlns:ds="http://schemas.openxmlformats.org/officeDocument/2006/customXml" ds:itemID="{77AF2F54-71F6-426B-8335-F59A297D6D59}">
  <ds:schemaRefs>
    <ds:schemaRef ds:uri="http://schemas.microsoft.com/sharepoint/v3/contenttype/forms"/>
  </ds:schemaRefs>
</ds:datastoreItem>
</file>

<file path=customXml/itemProps3.xml><?xml version="1.0" encoding="utf-8"?>
<ds:datastoreItem xmlns:ds="http://schemas.openxmlformats.org/officeDocument/2006/customXml" ds:itemID="{31D84267-AE76-4979-A30E-E91F1CF5A86D}">
  <ds:schemaRefs>
    <ds:schemaRef ds:uri="http://schemas.microsoft.com/office/2006/metadata/properties"/>
    <ds:schemaRef ds:uri="http://schemas.openxmlformats.org/package/2006/metadata/core-properties"/>
    <ds:schemaRef ds:uri="http://schemas.microsoft.com/office/2006/documentManagement/types"/>
    <ds:schemaRef ds:uri="http://purl.org/dc/terms/"/>
    <ds:schemaRef ds:uri="http://purl.org/dc/dcmitype/"/>
    <ds:schemaRef ds:uri="74722f5b-944d-4a42-bf35-b916e0556b25"/>
    <ds:schemaRef ds:uri="http://purl.org/dc/elements/1.1/"/>
    <ds:schemaRef ds:uri="http://schemas.microsoft.com/office/infopath/2007/PartnerControls"/>
    <ds:schemaRef ds:uri="f8e0078c-79e3-4ca5-8689-6b08a2920b93"/>
    <ds:schemaRef ds:uri="http://www.w3.org/XML/1998/namespace"/>
  </ds:schemaRefs>
</ds:datastoreItem>
</file>

<file path=docMetadata/LabelInfo.xml><?xml version="1.0" encoding="utf-8"?>
<clbl:labelList xmlns:clbl="http://schemas.microsoft.com/office/2020/mipLabelMetadata">
  <clbl:label id="{09b73270-2993-4076-be47-9c78f42a1e8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Instructions &amp; Definitions</vt:lpstr>
      <vt:lpstr>EUIt Sheet</vt:lpstr>
      <vt:lpstr>Lookups</vt:lpstr>
      <vt:lpstr>Lookups!Print_Area</vt:lpstr>
      <vt:lpstr>Lookups!Print_Titles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Lisa Gartland</dc:creator>
  <cp:keywords/>
  <dc:description/>
  <cp:lastModifiedBy>Lisa Gartland</cp:lastModifiedBy>
  <cp:revision/>
  <dcterms:created xsi:type="dcterms:W3CDTF">2025-01-21T23:30:23Z</dcterms:created>
  <dcterms:modified xsi:type="dcterms:W3CDTF">2026-04-23T15:20:54Z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2025-01-22T00:55:57Z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9bb86b93-ea53-407f-9fef-ee017cb0cace</vt:lpwstr>
  </property>
  <property fmtid="{D5CDD505-2E9C-101B-9397-08002B2CF9AE}" pid="8" name="MSIP_Label_09b73270-2993-4076-be47-9c78f42a1e84_ContentBits">
    <vt:lpwstr>0</vt:lpwstr>
  </property>
  <property fmtid="{D5CDD505-2E9C-101B-9397-08002B2CF9AE}" pid="9" name="ContentTypeId">
    <vt:lpwstr>0x01010085DE4FD5B3EF2A46BFA6D58E86B0282D</vt:lpwstr>
  </property>
  <property fmtid="{D5CDD505-2E9C-101B-9397-08002B2CF9AE}" pid="10" name="MediaServiceImageTags">
    <vt:lpwstr/>
  </property>
  <property fmtid="{D5CDD505-2E9C-101B-9397-08002B2CF9AE}" pid="11" name="ComplianceAssetId">
    <vt:lpwstr/>
  </property>
  <property fmtid="{D5CDD505-2E9C-101B-9397-08002B2CF9AE}" pid="12" name="_ExtendedDescription">
    <vt:lpwstr/>
  </property>
  <property fmtid="{D5CDD505-2E9C-101B-9397-08002B2CF9AE}" pid="13" name="TriggerFlowInfo">
    <vt:lpwstr/>
  </property>
</Properties>
</file>