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H Clean Air Oregon\4. Facilities\Owens-Brockway\Risk Assessment\Level 4 Risk Assessment 2021\DEQ Response Letter to Owens Jan 2022\"/>
    </mc:Choice>
  </mc:AlternateContent>
  <xr:revisionPtr revIDLastSave="0" documentId="13_ncr:1_{EA70095D-63EC-49E8-8764-CC7D8FA66FD8}" xr6:coauthVersionLast="47" xr6:coauthVersionMax="47" xr10:uidLastSave="{00000000-0000-0000-0000-000000000000}"/>
  <bookViews>
    <workbookView xWindow="570" yWindow="75" windowWidth="16935" windowHeight="13665" activeTab="2" xr2:uid="{00000000-000D-0000-FFFF-FFFF00000000}"/>
  </bookViews>
  <sheets>
    <sheet name="HARP PEPD" sheetId="1" r:id="rId1"/>
    <sheet name="HI Calcs_Org" sheetId="3" r:id="rId2"/>
    <sheet name="HI Calcs_Mod" sheetId="5" r:id="rId3"/>
    <sheet name="Table 13-68" sheetId="4" r:id="rId4"/>
    <sheet name="MPA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8" i="5" l="1"/>
  <c r="G102" i="5" a="1"/>
  <c r="G102" i="5" s="1"/>
  <c r="AI110" i="5"/>
  <c r="AI109" i="5"/>
  <c r="AI112" i="5" s="1"/>
  <c r="AI108" i="5"/>
  <c r="AI107" i="5"/>
  <c r="AF110" i="5"/>
  <c r="AF109" i="5"/>
  <c r="AF108" i="5"/>
  <c r="AF107" i="5"/>
  <c r="W110" i="5"/>
  <c r="W109" i="5"/>
  <c r="W108" i="5"/>
  <c r="W107" i="5"/>
  <c r="W112" i="5" s="1"/>
  <c r="M53" i="6"/>
  <c r="M50" i="6"/>
  <c r="M47" i="6"/>
  <c r="N39" i="6"/>
  <c r="M36" i="6"/>
  <c r="N36" i="6" s="1"/>
  <c r="I31" i="6"/>
  <c r="H31" i="6"/>
  <c r="G31" i="6"/>
  <c r="F31" i="6"/>
  <c r="I29" i="6"/>
  <c r="H29" i="6"/>
  <c r="G29" i="6"/>
  <c r="F29" i="6"/>
  <c r="I28" i="6"/>
  <c r="H28" i="6"/>
  <c r="G28" i="6"/>
  <c r="F28" i="6"/>
  <c r="I104" i="5"/>
  <c r="J104" i="5" s="1"/>
  <c r="K104" i="5" s="1"/>
  <c r="L104" i="5" s="1"/>
  <c r="I26" i="6"/>
  <c r="H26" i="6"/>
  <c r="G26" i="6"/>
  <c r="F26" i="6"/>
  <c r="AF112" i="5" l="1"/>
  <c r="T112" i="5"/>
  <c r="P100" i="3"/>
  <c r="O100" i="3"/>
  <c r="P104" i="5"/>
  <c r="I101" i="5" s="1" a="1"/>
  <c r="I101" i="5" s="1"/>
  <c r="P103" i="5"/>
  <c r="L101" i="5" s="1" a="1"/>
  <c r="L101" i="5" s="1"/>
  <c r="P102" i="5"/>
  <c r="J101" i="5" s="1" a="1"/>
  <c r="J101" i="5" s="1"/>
  <c r="P101" i="5"/>
  <c r="K101" i="5" s="1" a="1"/>
  <c r="K101" i="5" s="1"/>
  <c r="O103" i="5"/>
  <c r="O101" i="5"/>
  <c r="F110" i="3"/>
  <c r="W95" i="5" l="1"/>
  <c r="W96" i="5" s="1"/>
  <c r="U95" i="5"/>
  <c r="V95" i="5" s="1"/>
  <c r="V94" i="5"/>
  <c r="V93" i="5"/>
  <c r="V92" i="5"/>
  <c r="V91" i="5"/>
  <c r="U90" i="5"/>
  <c r="V90" i="5" s="1"/>
  <c r="V89" i="5"/>
  <c r="O87" i="3"/>
  <c r="H92" i="3" s="1" a="1"/>
  <c r="H92" i="3" s="1"/>
  <c r="M87" i="3"/>
  <c r="N87" i="3"/>
  <c r="P88" i="5"/>
  <c r="N88" i="5"/>
  <c r="O88" i="5"/>
  <c r="H93" i="5" s="1" a="1"/>
  <c r="H93" i="5" s="1"/>
  <c r="K50" i="5"/>
  <c r="J50" i="5"/>
  <c r="I50" i="5"/>
  <c r="M42" i="6" l="1"/>
  <c r="N42" i="6" s="1"/>
  <c r="X91" i="5"/>
  <c r="X89" i="5"/>
  <c r="X94" i="5"/>
  <c r="X96" i="5"/>
  <c r="H50" i="5"/>
  <c r="M14" i="6"/>
  <c r="H92" i="5" l="1" a="1"/>
  <c r="H92" i="5" s="1"/>
  <c r="I92" i="5" s="1"/>
  <c r="H91" i="3" a="1"/>
  <c r="H91" i="3" s="1"/>
  <c r="E16" i="6"/>
  <c r="D16" i="6"/>
  <c r="C16" i="6"/>
  <c r="C15" i="6"/>
  <c r="C14" i="6"/>
  <c r="H15" i="6"/>
  <c r="H30" i="6" s="1"/>
  <c r="J108" i="5"/>
  <c r="K108" i="5" s="1"/>
  <c r="L108" i="5" s="1"/>
  <c r="B113" i="5"/>
  <c r="B112" i="5"/>
  <c r="B111" i="5"/>
  <c r="Q104" i="5"/>
  <c r="O104" i="5"/>
  <c r="N104" i="5"/>
  <c r="Q103" i="5"/>
  <c r="N103" i="5"/>
  <c r="Q102" i="5"/>
  <c r="O102" i="5"/>
  <c r="N102" i="5"/>
  <c r="Q101" i="5"/>
  <c r="N101" i="5"/>
  <c r="J94" i="5"/>
  <c r="J91" i="5"/>
  <c r="I90" i="5"/>
  <c r="L76" i="5"/>
  <c r="H75" i="5" a="1"/>
  <c r="H75" i="5" s="1"/>
  <c r="L74" i="5"/>
  <c r="H74" i="5" a="1"/>
  <c r="H74" i="5" s="1"/>
  <c r="H73" i="5" a="1"/>
  <c r="H73" i="5" s="1"/>
  <c r="F73" i="5" a="1"/>
  <c r="F73" i="5" s="1"/>
  <c r="E73" i="5" a="1"/>
  <c r="E73" i="5" s="1"/>
  <c r="L72" i="5"/>
  <c r="J72" i="5"/>
  <c r="H71" i="5"/>
  <c r="J71" i="5" s="1"/>
  <c r="G63" i="5" a="1"/>
  <c r="G63" i="5" s="1"/>
  <c r="C58" i="5" a="1"/>
  <c r="C58" i="5" s="1"/>
  <c r="K40" i="5"/>
  <c r="J40" i="5"/>
  <c r="I40" i="5"/>
  <c r="H40" i="5"/>
  <c r="K26" i="5"/>
  <c r="K25" i="5" s="1"/>
  <c r="M23" i="5"/>
  <c r="J71" i="3"/>
  <c r="J93" i="3"/>
  <c r="J90" i="3"/>
  <c r="I72" i="5" l="1"/>
  <c r="F14" i="6"/>
  <c r="F27" i="6" s="1"/>
  <c r="F15" i="6"/>
  <c r="F30" i="6" s="1"/>
  <c r="G16" i="6"/>
  <c r="G32" i="6" s="1"/>
  <c r="I15" i="6"/>
  <c r="I30" i="6" s="1"/>
  <c r="H16" i="6"/>
  <c r="H32" i="6" s="1"/>
  <c r="I16" i="6"/>
  <c r="I32" i="6" s="1"/>
  <c r="F16" i="6"/>
  <c r="F32" i="6" s="1"/>
  <c r="G14" i="6"/>
  <c r="G27" i="6" s="1"/>
  <c r="G15" i="6"/>
  <c r="G30" i="6" s="1"/>
  <c r="G16" i="5"/>
  <c r="G62" i="5"/>
  <c r="G64" i="5" s="1"/>
  <c r="H72" i="5"/>
  <c r="H39" i="5" l="1"/>
  <c r="E15" i="5"/>
  <c r="H49" i="5" s="1"/>
  <c r="E14" i="5"/>
  <c r="K39" i="5"/>
  <c r="J39" i="5"/>
  <c r="J37" i="5" s="1"/>
  <c r="I39" i="5"/>
  <c r="I37" i="5" s="1"/>
  <c r="H47" i="5" l="1"/>
  <c r="H53" i="5" s="1"/>
  <c r="I100" i="5" s="1"/>
  <c r="I49" i="5"/>
  <c r="H70" i="5"/>
  <c r="H90" i="5"/>
  <c r="J70" i="5" l="1"/>
  <c r="J68" i="5" s="1"/>
  <c r="E111" i="5" s="1"/>
  <c r="H68" i="5"/>
  <c r="D111" i="5" s="1"/>
  <c r="H88" i="5"/>
  <c r="D112" i="5" s="1"/>
  <c r="F112" i="5" s="1"/>
  <c r="J90" i="5"/>
  <c r="I47" i="5"/>
  <c r="I53" i="5" s="1"/>
  <c r="J100" i="5" s="1"/>
  <c r="J49" i="5"/>
  <c r="E112" i="5" l="1"/>
  <c r="E114" i="5" s="1"/>
  <c r="E116" i="5" s="1"/>
  <c r="I14" i="6" s="1"/>
  <c r="I27" i="6" s="1"/>
  <c r="G112" i="5"/>
  <c r="M51" i="6"/>
  <c r="N51" i="6" s="1"/>
  <c r="G111" i="5"/>
  <c r="H111" i="5" s="1"/>
  <c r="F111" i="5"/>
  <c r="M48" i="6" s="1"/>
  <c r="N48" i="6" s="1"/>
  <c r="J47" i="5"/>
  <c r="J53" i="5" s="1"/>
  <c r="K100" i="5" s="1"/>
  <c r="K49" i="5"/>
  <c r="K47" i="5" s="1"/>
  <c r="K53" i="5" s="1"/>
  <c r="L100" i="5" s="1"/>
  <c r="J103" i="3" l="1"/>
  <c r="K103" i="3" s="1"/>
  <c r="L103" i="3" s="1"/>
  <c r="G61" i="3"/>
  <c r="C57" i="3" a="1"/>
  <c r="C57" i="3" s="1"/>
  <c r="G62" i="3" a="1"/>
  <c r="G62" i="3" s="1"/>
  <c r="K49" i="3" a="1"/>
  <c r="K49" i="3" s="1"/>
  <c r="J49" i="3" a="1"/>
  <c r="J49" i="3" s="1"/>
  <c r="I49" i="3" a="1"/>
  <c r="I49" i="3" s="1"/>
  <c r="H49" i="3" a="1"/>
  <c r="H49" i="3" s="1"/>
  <c r="F101" i="3" l="1"/>
  <c r="P103" i="3"/>
  <c r="P102" i="3"/>
  <c r="P101" i="3"/>
  <c r="K39" i="3"/>
  <c r="J39" i="3"/>
  <c r="I39" i="3"/>
  <c r="H39" i="3"/>
  <c r="I102" i="3"/>
  <c r="M23" i="3"/>
  <c r="L100" i="3" l="1"/>
  <c r="I100" i="3"/>
  <c r="J100" i="3"/>
  <c r="K100" i="3"/>
  <c r="G110" i="3" l="1"/>
  <c r="O103" i="3"/>
  <c r="N103" i="3"/>
  <c r="O102" i="3"/>
  <c r="N102" i="3"/>
  <c r="O101" i="3"/>
  <c r="N100" i="3"/>
  <c r="G112" i="3"/>
  <c r="G111" i="3"/>
  <c r="B111" i="3"/>
  <c r="B112" i="3"/>
  <c r="B110" i="3"/>
  <c r="H70" i="3"/>
  <c r="J70" i="3" s="1"/>
  <c r="K26" i="3"/>
  <c r="K25" i="3" s="1"/>
  <c r="G16" i="3"/>
  <c r="H74" i="3" a="1"/>
  <c r="H74" i="3" s="1"/>
  <c r="H73" i="3" a="1"/>
  <c r="H73" i="3" s="1"/>
  <c r="H72" i="3" a="1"/>
  <c r="H72" i="3" s="1"/>
  <c r="F72" i="3" a="1"/>
  <c r="F72" i="3" s="1"/>
  <c r="L75" i="3"/>
  <c r="L73" i="3"/>
  <c r="L71" i="3"/>
  <c r="E72" i="3" a="1"/>
  <c r="E72" i="3" s="1"/>
  <c r="E14" i="3" l="1"/>
  <c r="I38" i="3"/>
  <c r="I36" i="3" s="1"/>
  <c r="K38" i="3"/>
  <c r="E15" i="3"/>
  <c r="H48" i="3" s="1"/>
  <c r="I48" i="3" s="1"/>
  <c r="J48" i="3" s="1"/>
  <c r="K48" i="3" s="1"/>
  <c r="J38" i="3"/>
  <c r="J36" i="3" s="1"/>
  <c r="G113" i="3"/>
  <c r="H71" i="3"/>
  <c r="I71" i="3"/>
  <c r="G63" i="3"/>
  <c r="N101" i="3"/>
  <c r="I89" i="3"/>
  <c r="G115" i="3" l="1"/>
  <c r="K46" i="3"/>
  <c r="K52" i="3" s="1"/>
  <c r="L99" i="3" s="1"/>
  <c r="L97" i="3" s="1"/>
  <c r="J46" i="3"/>
  <c r="J52" i="3" s="1"/>
  <c r="K99" i="3" s="1"/>
  <c r="K97" i="3" s="1"/>
  <c r="I46" i="3"/>
  <c r="I52" i="3" s="1"/>
  <c r="J99" i="3" s="1"/>
  <c r="J97" i="3" s="1"/>
  <c r="H69" i="3"/>
  <c r="H38" i="3"/>
  <c r="H46" i="3"/>
  <c r="H67" i="3" l="1"/>
  <c r="D110" i="3" s="1"/>
  <c r="H110" i="3" s="1"/>
  <c r="J69" i="3"/>
  <c r="J67" i="3" s="1"/>
  <c r="E110" i="3" s="1"/>
  <c r="H52" i="3"/>
  <c r="H89" i="3"/>
  <c r="H87" i="3" l="1"/>
  <c r="D111" i="3" s="1"/>
  <c r="J89" i="3"/>
  <c r="J87" i="3" s="1"/>
  <c r="I99" i="3"/>
  <c r="I97" i="3" s="1"/>
  <c r="H111" i="3" l="1"/>
  <c r="F111" i="3"/>
  <c r="H112" i="5" s="1"/>
  <c r="E111" i="3"/>
  <c r="E113" i="3" s="1"/>
  <c r="E115" i="3" s="1"/>
  <c r="M97" i="3"/>
  <c r="D112" i="3" s="1"/>
  <c r="F112" i="3" s="1"/>
  <c r="H112" i="3" l="1"/>
  <c r="D113" i="3"/>
  <c r="D115" i="3" s="1"/>
  <c r="I98" i="5" l="1"/>
  <c r="K98" i="5"/>
  <c r="L98" i="5"/>
  <c r="J98" i="5"/>
  <c r="M98" i="5" l="1"/>
  <c r="D113" i="5" s="1"/>
  <c r="G113" i="5" l="1"/>
  <c r="F113" i="5"/>
  <c r="M54" i="6" s="1"/>
  <c r="N54" i="6" s="1"/>
  <c r="H113" i="5"/>
  <c r="D114" i="5"/>
  <c r="D116" i="5" s="1"/>
  <c r="H14" i="6" s="1"/>
  <c r="H27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<sst xmlns="http://schemas.openxmlformats.org/spreadsheetml/2006/main" count="719" uniqueCount="284">
  <si>
    <t>Compound</t>
  </si>
  <si>
    <t>7440-38-2</t>
  </si>
  <si>
    <t>CAN</t>
  </si>
  <si>
    <t>Acute Inhalation (ug/cu m)</t>
  </si>
  <si>
    <t>8-hr Inhalation (ug/cu m)</t>
  </si>
  <si>
    <t>Chronic Inhalation (ug/cu m)</t>
  </si>
  <si>
    <t>Chronic Oral (mg/kg-d)</t>
  </si>
  <si>
    <t xml:space="preserve">ARSENIC </t>
  </si>
  <si>
    <t>CONSOLIDATED TABLE OF</t>
  </si>
  <si>
    <t>OEHHA/ARB APPROVED RISK ASSESSMENT HEALTH VALUES</t>
  </si>
  <si>
    <r>
      <t>Inhalation Unit Risk(ug/cu m)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</si>
  <si>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r>
      <t>Inhalation Cancer PF (mg/kg-d)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</si>
  <si>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r>
      <t>Oral Slope Factor (mg/kg-d)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</si>
  <si>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t>Average Soil Concentrations (ug/kg)</t>
  </si>
  <si>
    <t>Dep</t>
  </si>
  <si>
    <t>Deposition</t>
  </si>
  <si>
    <t>Dep = Cair * DR * 86400</t>
  </si>
  <si>
    <t>DR</t>
  </si>
  <si>
    <t>Deposition Rate</t>
  </si>
  <si>
    <t>= 0.02 m/s for controlled sources, or 0.05 m/s for uncontrolled sources</t>
  </si>
  <si>
    <t>Csoil = Dep * X/(Ks *SD*BD*T)</t>
  </si>
  <si>
    <t>X</t>
  </si>
  <si>
    <t xml:space="preserve"> Integral function for soil accumulation (d)</t>
  </si>
  <si>
    <r>
      <t>X = ((e</t>
    </r>
    <r>
      <rPr>
        <vertAlign val="superscript"/>
        <sz val="11"/>
        <color theme="1"/>
        <rFont val="Calibri"/>
        <family val="2"/>
        <scheme val="minor"/>
      </rPr>
      <t>-KsTf</t>
    </r>
    <r>
      <rPr>
        <sz val="11"/>
        <color theme="1"/>
        <rFont val="Calibri"/>
        <family val="2"/>
        <scheme val="minor"/>
      </rPr>
      <t xml:space="preserve"> - e</t>
    </r>
    <r>
      <rPr>
        <vertAlign val="superscript"/>
        <sz val="11"/>
        <color theme="1"/>
        <rFont val="Calibri"/>
        <family val="2"/>
        <scheme val="minor"/>
      </rPr>
      <t>-KsTo</t>
    </r>
    <r>
      <rPr>
        <sz val="11"/>
        <color theme="1"/>
        <rFont val="Calibri"/>
        <family val="2"/>
        <scheme val="minor"/>
      </rPr>
      <t>)/Ks)+T</t>
    </r>
    <r>
      <rPr>
        <vertAlign val="subscript"/>
        <sz val="11"/>
        <color theme="1"/>
        <rFont val="Calibri"/>
        <family val="2"/>
        <scheme val="minor"/>
      </rPr>
      <t>t</t>
    </r>
  </si>
  <si>
    <t>Ks</t>
  </si>
  <si>
    <t>=  Soil elimination constant</t>
  </si>
  <si>
    <t>Tf</t>
  </si>
  <si>
    <t>=  End of Soil accumulation evaluation period (d)</t>
  </si>
  <si>
    <t>To</t>
  </si>
  <si>
    <t>=  Beginning of Soil accumulation evaluation period (d)</t>
  </si>
  <si>
    <t>Tt</t>
  </si>
  <si>
    <t>=  Total days of Soil exposure (Soil accumulation period) T</t>
  </si>
  <si>
    <t xml:space="preserve"> = (Tf-To)</t>
  </si>
  <si>
    <t>= 70 yr = 25550 days</t>
  </si>
  <si>
    <t xml:space="preserve"> = 0</t>
  </si>
  <si>
    <r>
      <t>= 0.693/t</t>
    </r>
    <r>
      <rPr>
        <vertAlign val="subscript"/>
        <sz val="11"/>
        <color theme="1"/>
        <rFont val="Calibri"/>
        <family val="2"/>
        <scheme val="minor"/>
      </rPr>
      <t>1/2</t>
    </r>
  </si>
  <si>
    <t>=</t>
  </si>
  <si>
    <t>SD</t>
  </si>
  <si>
    <t>Soil Depth</t>
  </si>
  <si>
    <t>BD</t>
  </si>
  <si>
    <t>Bulk Density</t>
  </si>
  <si>
    <t>kg/cu m</t>
  </si>
  <si>
    <t>days</t>
  </si>
  <si>
    <r>
      <t>for metals t</t>
    </r>
    <r>
      <rPr>
        <vertAlign val="subscript"/>
        <sz val="11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 = 10</t>
    </r>
    <r>
      <rPr>
        <vertAlign val="superscript"/>
        <sz val="11"/>
        <color theme="1"/>
        <rFont val="Calibri"/>
        <family val="2"/>
        <scheme val="minor"/>
      </rPr>
      <t>8</t>
    </r>
  </si>
  <si>
    <t>m for playground</t>
  </si>
  <si>
    <t>Csoil</t>
  </si>
  <si>
    <t>Cair</t>
  </si>
  <si>
    <t>ug/cu m</t>
  </si>
  <si>
    <t>ug/sq m/day</t>
  </si>
  <si>
    <t>ug/kg</t>
  </si>
  <si>
    <t>m/s</t>
  </si>
  <si>
    <t>m for Ag</t>
  </si>
  <si>
    <t>Dermal and soil ingestion</t>
  </si>
  <si>
    <t>Produce and Meat pathway</t>
  </si>
  <si>
    <t>Cv</t>
  </si>
  <si>
    <t>Average concentration in and on specific types of vegetation (ug/kg)</t>
  </si>
  <si>
    <t>Cv = Cdepv + Ctrans</t>
  </si>
  <si>
    <t>IF</t>
  </si>
  <si>
    <t>k</t>
  </si>
  <si>
    <r>
      <t>Weathering constant (d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</si>
  <si>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Y</t>
  </si>
  <si>
    <t>d</t>
  </si>
  <si>
    <t>Interception fraction Crop Specific</t>
  </si>
  <si>
    <t>Root Crops</t>
  </si>
  <si>
    <t>Leafy Crops</t>
  </si>
  <si>
    <t>Protected Crops</t>
  </si>
  <si>
    <t>Exposed Crops</t>
  </si>
  <si>
    <t>Pasture</t>
  </si>
  <si>
    <t>Ctrans</t>
  </si>
  <si>
    <t xml:space="preserve"> Concentration in vegetation due to root translocation or uptake (ug/kg)</t>
  </si>
  <si>
    <t>(mg/kg-d)</t>
  </si>
  <si>
    <t>ADL</t>
  </si>
  <si>
    <t>Annual Dermal Load (mg soil/kg BW-yr)</t>
  </si>
  <si>
    <t>Soil Conc.</t>
  </si>
  <si>
    <t>(ug/kg)</t>
  </si>
  <si>
    <t>ABS</t>
  </si>
  <si>
    <t>Fraction Absorbed across skin</t>
  </si>
  <si>
    <t>Warm</t>
  </si>
  <si>
    <t>Mixed</t>
  </si>
  <si>
    <t>Cold</t>
  </si>
  <si>
    <t>3rd Tri</t>
  </si>
  <si>
    <t>0-2</t>
  </si>
  <si>
    <t>2-9</t>
  </si>
  <si>
    <t>2-16</t>
  </si>
  <si>
    <t>Offsite worker</t>
  </si>
  <si>
    <t>Adults</t>
  </si>
  <si>
    <t>Mean</t>
  </si>
  <si>
    <t>95th perc</t>
  </si>
  <si>
    <t>Arsenic</t>
  </si>
  <si>
    <t>Beryllium</t>
  </si>
  <si>
    <t>Cadmium</t>
  </si>
  <si>
    <t>Lead</t>
  </si>
  <si>
    <t>Nickel</t>
  </si>
  <si>
    <t>GRAF</t>
  </si>
  <si>
    <t>Gastrointestinal relative absorption fraction</t>
  </si>
  <si>
    <t>Soil ingestion rate</t>
  </si>
  <si>
    <t>SIR</t>
  </si>
  <si>
    <t>EF</t>
  </si>
  <si>
    <t>0&lt;2</t>
  </si>
  <si>
    <t>16&lt;30</t>
  </si>
  <si>
    <t>16 to 70</t>
  </si>
  <si>
    <t>2&lt;16</t>
  </si>
  <si>
    <t>2&lt;9</t>
  </si>
  <si>
    <t>95th</t>
  </si>
  <si>
    <t xml:space="preserve">Concentration in specific type of crop, i.e., exposed, leafy, protected, root </t>
  </si>
  <si>
    <t>Consumption of specific type of crop</t>
  </si>
  <si>
    <t>IP</t>
  </si>
  <si>
    <t>Fraction of plant type consumed that is home-grown or locally</t>
  </si>
  <si>
    <t>L</t>
  </si>
  <si>
    <t>as above</t>
  </si>
  <si>
    <t xml:space="preserve">Dose_Dermal </t>
  </si>
  <si>
    <t>Exposure dose through dermal absorption</t>
  </si>
  <si>
    <t>DOSE_Soil_I</t>
  </si>
  <si>
    <t>Dose from soil ingestion</t>
  </si>
  <si>
    <t>Weighted SIR</t>
  </si>
  <si>
    <t>Exposure dose through ingestion of home-grown produce</t>
  </si>
  <si>
    <t>From above</t>
  </si>
  <si>
    <t>T</t>
  </si>
  <si>
    <t>Concentration due to direct deposition</t>
  </si>
  <si>
    <t>Cdepv</t>
  </si>
  <si>
    <t>Yield</t>
  </si>
  <si>
    <t>Growth Period (d)</t>
  </si>
  <si>
    <t>Deposition (from above)</t>
  </si>
  <si>
    <t>(ug/sq m-d)</t>
  </si>
  <si>
    <t>UF2</t>
  </si>
  <si>
    <t>Average soil concentration</t>
  </si>
  <si>
    <t>Uptake factor based on soil concentration</t>
  </si>
  <si>
    <t>Chromium</t>
  </si>
  <si>
    <t>Selenium</t>
  </si>
  <si>
    <t>Metal</t>
  </si>
  <si>
    <t>HARP2 Risk Methodology</t>
  </si>
  <si>
    <t>Exposed</t>
  </si>
  <si>
    <t>Leafy</t>
  </si>
  <si>
    <t>Protected</t>
  </si>
  <si>
    <t>Root</t>
  </si>
  <si>
    <t>High</t>
  </si>
  <si>
    <t>16-70</t>
  </si>
  <si>
    <t>Table 5.11 Annual Dermal Load Estimates</t>
  </si>
  <si>
    <t>Crop</t>
  </si>
  <si>
    <t>Input: Pollutant Concentration</t>
  </si>
  <si>
    <t xml:space="preserve">Calculation of Noncancer Inhalation Hazard Quotient and Hazard Index </t>
  </si>
  <si>
    <t>CHI = Cair/cREL</t>
  </si>
  <si>
    <t>CHQ_oral=  C_dose/C_oral_REL</t>
  </si>
  <si>
    <t>CHI</t>
  </si>
  <si>
    <r>
      <t>Inhalation &amp; oral</t>
    </r>
    <r>
      <rPr>
        <sz val="11"/>
        <color theme="1"/>
        <rFont val="Calibri"/>
        <family val="2"/>
        <scheme val="minor"/>
      </rPr>
      <t>: Development; cardiovascular system; nervous system; respiratory system; skin</t>
    </r>
  </si>
  <si>
    <t>INHALATION HQ</t>
  </si>
  <si>
    <t>C_Oral_REL</t>
  </si>
  <si>
    <t>mg/kg BW-day</t>
  </si>
  <si>
    <t>cREL</t>
  </si>
  <si>
    <t>NON-INHALATION HQ</t>
  </si>
  <si>
    <r>
      <t>Dose</t>
    </r>
    <r>
      <rPr>
        <sz val="10"/>
        <color theme="1"/>
        <rFont val="Arial"/>
        <family val="2"/>
      </rPr>
      <t xml:space="preserve">dermal </t>
    </r>
    <r>
      <rPr>
        <sz val="15"/>
        <color theme="1"/>
        <rFont val="Arial"/>
        <family val="2"/>
      </rPr>
      <t>= ADL × Cs × ABS × 10</t>
    </r>
    <r>
      <rPr>
        <sz val="10"/>
        <color theme="1"/>
        <rFont val="Arial"/>
        <family val="2"/>
      </rPr>
      <t xml:space="preserve">-9 </t>
    </r>
    <r>
      <rPr>
        <sz val="15"/>
        <color theme="1"/>
        <rFont val="Arial"/>
        <family val="2"/>
      </rPr>
      <t>× ED/AT × (1/350)</t>
    </r>
  </si>
  <si>
    <t>Climate/Dist Row</t>
  </si>
  <si>
    <t>M or 95</t>
  </si>
  <si>
    <t>Eq 5.3.2 A</t>
  </si>
  <si>
    <t>Eq 5.3.2 B</t>
  </si>
  <si>
    <t>Eq 5.3.2 C</t>
  </si>
  <si>
    <t>Eq 5.3.2 D</t>
  </si>
  <si>
    <t>EQ 5.3.4.1 A</t>
  </si>
  <si>
    <t>EQ 5.3.4.1 B</t>
  </si>
  <si>
    <r>
      <t>Cdepv = (Dep*IF/(k*Y))*(1-e</t>
    </r>
    <r>
      <rPr>
        <vertAlign val="superscript"/>
        <sz val="11"/>
        <color theme="1"/>
        <rFont val="Calibri"/>
        <family val="2"/>
        <scheme val="minor"/>
      </rPr>
      <t>-kT</t>
    </r>
    <r>
      <rPr>
        <sz val="11"/>
        <color theme="1"/>
        <rFont val="Calibri"/>
        <family val="2"/>
        <scheme val="minor"/>
      </rPr>
      <t>)</t>
    </r>
  </si>
  <si>
    <r>
      <t>Ctrans = Csoil * UF</t>
    </r>
    <r>
      <rPr>
        <vertAlign val="subscript"/>
        <sz val="11"/>
        <color theme="1"/>
        <rFont val="Calibri"/>
        <family val="2"/>
        <scheme val="minor"/>
      </rPr>
      <t>2</t>
    </r>
  </si>
  <si>
    <t>EQ 5.3.4.1 C</t>
  </si>
  <si>
    <t>Concentration Calcs:</t>
  </si>
  <si>
    <t>Air Concentration (ug/cu m)</t>
  </si>
  <si>
    <t>Chronic REL  (ug/cu m)</t>
  </si>
  <si>
    <t>Chronic Hazard Risk</t>
  </si>
  <si>
    <t>DOSE CALCULATIONS</t>
  </si>
  <si>
    <r>
      <t>= ADL × Csoil × ABS × 10</t>
    </r>
    <r>
      <rPr>
        <vertAlign val="superscript"/>
        <sz val="11"/>
        <color theme="1"/>
        <rFont val="Calibri"/>
        <family val="2"/>
        <scheme val="minor"/>
      </rPr>
      <t>-9</t>
    </r>
    <r>
      <rPr>
        <sz val="11"/>
        <color theme="1"/>
        <rFont val="Calibri"/>
        <family val="2"/>
        <scheme val="minor"/>
      </rPr>
      <t>(1/350)</t>
    </r>
  </si>
  <si>
    <t>DOSE_Prod</t>
  </si>
  <si>
    <t>INH_CONC</t>
  </si>
  <si>
    <t>SOIL_DOSE</t>
  </si>
  <si>
    <t>DERMAL_DOSE</t>
  </si>
  <si>
    <t>MMILK_DOSE</t>
  </si>
  <si>
    <t>WATER_DOSE</t>
  </si>
  <si>
    <t>FISH_DOSE</t>
  </si>
  <si>
    <t>CROP_DOSE</t>
  </si>
  <si>
    <t>BEEF_DOSE</t>
  </si>
  <si>
    <t>DAIRY_DOSE</t>
  </si>
  <si>
    <t>PIG_DOSE</t>
  </si>
  <si>
    <t>CHICKEN_DOSE</t>
  </si>
  <si>
    <t>EGG_DOSE</t>
  </si>
  <si>
    <t>1ST_DRIVER</t>
  </si>
  <si>
    <t>2ND_DRIVER</t>
  </si>
  <si>
    <t>3RD_DRIVER</t>
  </si>
  <si>
    <t>PASTURE_CONC</t>
  </si>
  <si>
    <t>FISH_CONC</t>
  </si>
  <si>
    <t>WATER_CONC</t>
  </si>
  <si>
    <t>INHALATION</t>
  </si>
  <si>
    <t>CROP</t>
  </si>
  <si>
    <t>SOIL</t>
  </si>
  <si>
    <t>HARP2 Verification</t>
  </si>
  <si>
    <t>Yrs</t>
  </si>
  <si>
    <t>Root Uptake Factors</t>
  </si>
  <si>
    <t>5.4.3.1.2</t>
  </si>
  <si>
    <t>SIR (ET/AT)</t>
  </si>
  <si>
    <r>
      <t xml:space="preserve"> = Csoil * GRAF * SIR(ET/AT) * 10</t>
    </r>
    <r>
      <rPr>
        <vertAlign val="superscript"/>
        <sz val="11"/>
        <color theme="1"/>
        <rFont val="Calibri"/>
        <family val="2"/>
        <scheme val="minor"/>
      </rPr>
      <t>-9</t>
    </r>
    <r>
      <rPr>
        <sz val="11"/>
        <color theme="1"/>
        <rFont val="Calibri"/>
        <family val="2"/>
        <scheme val="minor"/>
      </rPr>
      <t xml:space="preserve"> * EF  (mg/kg-d)</t>
    </r>
  </si>
  <si>
    <t>Exposure frequency (not for NC)</t>
  </si>
  <si>
    <t>ABS (%)</t>
  </si>
  <si>
    <t>&lt; Includes inhalation</t>
  </si>
  <si>
    <t>Diff</t>
  </si>
  <si>
    <t>RISK CALCULATION</t>
  </si>
  <si>
    <t>Dose</t>
  </si>
  <si>
    <t>Sum Dose</t>
  </si>
  <si>
    <t>Adult</t>
  </si>
  <si>
    <t>--</t>
  </si>
  <si>
    <t>kg/m2</t>
  </si>
  <si>
    <t>EQ 5.3.4.1</t>
  </si>
  <si>
    <t>Cv= Cdepv + Ctrans</t>
  </si>
  <si>
    <t>Total</t>
  </si>
  <si>
    <t xml:space="preserve">Root </t>
  </si>
  <si>
    <t xml:space="preserve">Leafy </t>
  </si>
  <si>
    <t xml:space="preserve">Exposed </t>
  </si>
  <si>
    <t>IP*ED/AT</t>
  </si>
  <si>
    <r>
      <t>= Cv * IP * GRAF * L * ED/AT * 10</t>
    </r>
    <r>
      <rPr>
        <vertAlign val="superscript"/>
        <sz val="11"/>
        <color theme="1"/>
        <rFont val="Calibri"/>
        <family val="2"/>
        <scheme val="minor"/>
      </rPr>
      <t>-6</t>
    </r>
  </si>
  <si>
    <t>Mean or High IP</t>
  </si>
  <si>
    <t>MPAF</t>
  </si>
  <si>
    <t>Non-cancer MPA</t>
  </si>
  <si>
    <t>Worker</t>
  </si>
  <si>
    <t>Resident</t>
  </si>
  <si>
    <t>Toxic Air Contaminant</t>
  </si>
  <si>
    <t>Resident ELA</t>
  </si>
  <si>
    <t>Non-Resident ELA</t>
  </si>
  <si>
    <t>Cancer Resident MPA</t>
  </si>
  <si>
    <t>Cancer Non-Resident MPA</t>
  </si>
  <si>
    <t>Non-Cancer Resident MPA</t>
  </si>
  <si>
    <t>Non-Cancer Non-Resident MPA</t>
  </si>
  <si>
    <t>Chromium VI</t>
  </si>
  <si>
    <t>OHA</t>
  </si>
  <si>
    <t>1,2,3</t>
  </si>
  <si>
    <t>(mean, OHA, and 95)</t>
  </si>
  <si>
    <t>&lt;  Regional West</t>
  </si>
  <si>
    <t>&lt; Nationwide</t>
  </si>
  <si>
    <t>&lt; REL</t>
  </si>
  <si>
    <t>HARP Output</t>
  </si>
  <si>
    <t>MPA</t>
  </si>
  <si>
    <t>Adjustments</t>
  </si>
  <si>
    <t>&lt; From Deposition Analysis</t>
  </si>
  <si>
    <t>Weighted SIR (mg/kg-day)</t>
  </si>
  <si>
    <t>1-2</t>
  </si>
  <si>
    <t>2-6</t>
  </si>
  <si>
    <t>6-11</t>
  </si>
  <si>
    <t>11-16</t>
  </si>
  <si>
    <t>16-21</t>
  </si>
  <si>
    <t>21-70</t>
  </si>
  <si>
    <t>Group</t>
  </si>
  <si>
    <t>Body weight (kg)</t>
  </si>
  <si>
    <t>Table 1-3. OHA Age Specific IR and Body Weights</t>
  </si>
  <si>
    <t>IR (mg/day)</t>
  </si>
  <si>
    <t>SIR(mg/kg-day)</t>
  </si>
  <si>
    <t>Years</t>
  </si>
  <si>
    <t xml:space="preserve">Weighted </t>
  </si>
  <si>
    <t>OHA Soil ingestion rate</t>
  </si>
  <si>
    <t>75th</t>
  </si>
  <si>
    <t>Consumption of specific type of crop (g/kg-day)</t>
  </si>
  <si>
    <t>1-Mean, 2-75th, or 3-High IP</t>
  </si>
  <si>
    <t>HARP2 uses same values for 2&lt;16 as 16&lt;30</t>
  </si>
  <si>
    <t>NOTE:</t>
  </si>
  <si>
    <t>CAO Default</t>
  </si>
  <si>
    <t>N</t>
  </si>
  <si>
    <t>Produce Consumption (N= Nationwide, W= West)</t>
  </si>
  <si>
    <t>"Generous" settings</t>
  </si>
  <si>
    <t>Updated Level 4 HRA</t>
  </si>
  <si>
    <t>(mg/kg/day)</t>
  </si>
  <si>
    <t>Default</t>
  </si>
  <si>
    <t>Produce ingestion rate</t>
  </si>
  <si>
    <t>(g/kg/day)</t>
  </si>
  <si>
    <t>Default (high)</t>
  </si>
  <si>
    <t>Varies by type of produce</t>
  </si>
  <si>
    <t>RBA</t>
  </si>
  <si>
    <t>(%)</t>
  </si>
  <si>
    <t>Value</t>
  </si>
  <si>
    <t>Reduction Ratio</t>
  </si>
  <si>
    <t>Depostion Rate</t>
  </si>
  <si>
    <t>(cm/sec)</t>
  </si>
  <si>
    <t>Updated Level 4 HRA (75th precentile)</t>
  </si>
  <si>
    <t>Approx. 2.2</t>
  </si>
  <si>
    <t>Risk (Res)</t>
  </si>
  <si>
    <t>Arsenic Dermal (Res)</t>
  </si>
  <si>
    <t>Arsenic Soil Ingestion (Res)</t>
  </si>
  <si>
    <t>Arsenic HG Produce (Res)</t>
  </si>
  <si>
    <t>Parameter</t>
  </si>
  <si>
    <t xml:space="preserve">HI Risk </t>
  </si>
  <si>
    <t>Approved Case</t>
  </si>
  <si>
    <t>February 2022: DEQ revisions are highlighted with a green background and in blue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</si>
</sst>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Book Antiqua"/>
      <family val="1"/>
    </font>
    <font>
      <sz val="11"/>
      <color rgb="FF000000"/>
      <name val="Calibri"/>
      <family val="2"/>
    </font>
    <font>
      <strike/>
      <sz val="11"/>
      <color theme="1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quotePrefix="1"/>
    <xf numFmtId="0" fontId="0" fillId="0" borderId="0" xfId="0" quotePrefix="1" applyAlignment="1">
      <alignment horizontal="right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3" borderId="0" xfId="0" applyNumberFormat="1" applyFill="1"/>
    <xf numFmtId="0" fontId="0" fillId="0" borderId="0" xfId="0" applyAlignment="1">
      <alignment horizontal="righ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1" fillId="0" borderId="9" xfId="0" applyFont="1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4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0" fillId="0" borderId="8" xfId="0" applyBorder="1" applyAlignment="1">
      <alignment horizontal="center"/>
    </xf>
    <xf numFmtId="0" fontId="1" fillId="0" borderId="0" xfId="0" applyFont="1" applyBorder="1"/>
    <xf numFmtId="11" fontId="0" fillId="0" borderId="0" xfId="0" applyNumberFormat="1" applyBorder="1"/>
    <xf numFmtId="11" fontId="0" fillId="0" borderId="10" xfId="0" applyNumberFormat="1" applyBorder="1"/>
    <xf numFmtId="0" fontId="1" fillId="0" borderId="10" xfId="0" applyFont="1" applyBorder="1"/>
    <xf numFmtId="0" fontId="1" fillId="0" borderId="10" xfId="0" quotePrefix="1" applyFont="1" applyBorder="1"/>
    <xf numFmtId="16" fontId="1" fillId="0" borderId="10" xfId="0" quotePrefix="1" applyNumberFormat="1" applyFont="1" applyBorder="1"/>
    <xf numFmtId="0" fontId="1" fillId="0" borderId="4" xfId="0" applyFont="1" applyBorder="1"/>
    <xf numFmtId="0" fontId="1" fillId="0" borderId="6" xfId="0" applyFont="1" applyBorder="1"/>
    <xf numFmtId="0" fontId="0" fillId="0" borderId="14" xfId="0" applyBorder="1"/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5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11" fontId="0" fillId="0" borderId="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7" fillId="0" borderId="0" xfId="0" applyFont="1"/>
    <xf numFmtId="11" fontId="0" fillId="0" borderId="0" xfId="0" applyNumberFormat="1"/>
    <xf numFmtId="0" fontId="8" fillId="0" borderId="0" xfId="0" applyFont="1"/>
    <xf numFmtId="0" fontId="0" fillId="4" borderId="0" xfId="0" applyFill="1"/>
    <xf numFmtId="11" fontId="0" fillId="4" borderId="0" xfId="0" applyNumberFormat="1" applyFill="1"/>
    <xf numFmtId="0" fontId="0" fillId="0" borderId="0" xfId="0" applyNumberFormat="1"/>
    <xf numFmtId="11" fontId="0" fillId="3" borderId="0" xfId="0" applyNumberFormat="1" applyFill="1"/>
    <xf numFmtId="16" fontId="0" fillId="0" borderId="0" xfId="0" quotePrefix="1" applyNumberFormat="1" applyAlignment="1">
      <alignment horizontal="right"/>
    </xf>
    <xf numFmtId="0" fontId="10" fillId="5" borderId="0" xfId="0" applyFont="1" applyFill="1"/>
    <xf numFmtId="0" fontId="0" fillId="5" borderId="0" xfId="0" applyFill="1"/>
    <xf numFmtId="0" fontId="0" fillId="0" borderId="0" xfId="0" applyNumberFormat="1" applyBorder="1"/>
    <xf numFmtId="0" fontId="11" fillId="0" borderId="0" xfId="0" applyFont="1"/>
    <xf numFmtId="0" fontId="0" fillId="0" borderId="15" xfId="0" applyBorder="1"/>
    <xf numFmtId="11" fontId="0" fillId="0" borderId="15" xfId="0" applyNumberFormat="1" applyBorder="1"/>
    <xf numFmtId="0" fontId="0" fillId="0" borderId="15" xfId="0" applyNumberFormat="1" applyBorder="1"/>
    <xf numFmtId="0" fontId="0" fillId="0" borderId="0" xfId="0" applyFill="1" applyBorder="1" applyAlignment="1">
      <alignment horizontal="center"/>
    </xf>
    <xf numFmtId="0" fontId="12" fillId="5" borderId="0" xfId="0" applyFont="1" applyFill="1"/>
    <xf numFmtId="0" fontId="0" fillId="0" borderId="0" xfId="0" quotePrefix="1" applyAlignment="1">
      <alignment horizontal="center"/>
    </xf>
    <xf numFmtId="0" fontId="0" fillId="6" borderId="0" xfId="0" applyFill="1"/>
    <xf numFmtId="0" fontId="0" fillId="0" borderId="0" xfId="0" applyFont="1"/>
    <xf numFmtId="0" fontId="0" fillId="2" borderId="0" xfId="0" applyFont="1" applyFill="1" applyAlignment="1">
      <alignment horizontal="center"/>
    </xf>
    <xf numFmtId="0" fontId="0" fillId="0" borderId="0" xfId="0" quotePrefix="1" applyFont="1" applyAlignment="1">
      <alignment horizontal="right"/>
    </xf>
    <xf numFmtId="0" fontId="1" fillId="7" borderId="1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165" fontId="0" fillId="7" borderId="3" xfId="0" applyNumberFormat="1" applyFill="1" applyBorder="1" applyAlignment="1">
      <alignment horizontal="center"/>
    </xf>
    <xf numFmtId="165" fontId="0" fillId="7" borderId="0" xfId="0" applyNumberFormat="1" applyFill="1" applyBorder="1" applyAlignment="1">
      <alignment horizontal="center"/>
    </xf>
    <xf numFmtId="11" fontId="0" fillId="7" borderId="4" xfId="0" applyNumberForma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7" borderId="3" xfId="0" applyNumberFormat="1" applyFill="1" applyBorder="1" applyAlignment="1">
      <alignment horizontal="center"/>
    </xf>
    <xf numFmtId="2" fontId="0" fillId="7" borderId="0" xfId="0" applyNumberFormat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165" fontId="0" fillId="7" borderId="4" xfId="0" applyNumberFormat="1" applyFill="1" applyBorder="1" applyAlignment="1">
      <alignment horizontal="center"/>
    </xf>
    <xf numFmtId="164" fontId="0" fillId="7" borderId="5" xfId="0" quotePrefix="1" applyNumberFormat="1" applyFill="1" applyBorder="1" applyAlignment="1">
      <alignment horizontal="center"/>
    </xf>
    <xf numFmtId="164" fontId="0" fillId="7" borderId="10" xfId="0" applyNumberFormat="1" applyFill="1" applyBorder="1" applyAlignment="1">
      <alignment horizontal="center"/>
    </xf>
    <xf numFmtId="164" fontId="0" fillId="7" borderId="6" xfId="0" applyNumberFormat="1" applyFill="1" applyBorder="1" applyAlignment="1">
      <alignment horizontal="center"/>
    </xf>
    <xf numFmtId="165" fontId="0" fillId="7" borderId="7" xfId="0" applyNumberFormat="1" applyFill="1" applyBorder="1" applyAlignment="1">
      <alignment horizontal="center"/>
    </xf>
    <xf numFmtId="165" fontId="0" fillId="7" borderId="13" xfId="0" applyNumberFormat="1" applyFill="1" applyBorder="1" applyAlignment="1">
      <alignment horizontal="center"/>
    </xf>
    <xf numFmtId="165" fontId="0" fillId="7" borderId="8" xfId="0" applyNumberFormat="1" applyFill="1" applyBorder="1" applyAlignment="1">
      <alignment horizontal="center"/>
    </xf>
    <xf numFmtId="0" fontId="0" fillId="7" borderId="3" xfId="0" quotePrefix="1" applyFill="1" applyBorder="1" applyAlignment="1">
      <alignment horizontal="center"/>
    </xf>
    <xf numFmtId="0" fontId="0" fillId="7" borderId="4" xfId="0" quotePrefix="1" applyFill="1" applyBorder="1" applyAlignment="1">
      <alignment horizontal="center"/>
    </xf>
    <xf numFmtId="0" fontId="0" fillId="7" borderId="5" xfId="0" quotePrefix="1" applyFill="1" applyBorder="1" applyAlignment="1">
      <alignment horizontal="center"/>
    </xf>
    <xf numFmtId="0" fontId="0" fillId="7" borderId="10" xfId="0" quotePrefix="1" applyFill="1" applyBorder="1" applyAlignment="1">
      <alignment horizontal="center"/>
    </xf>
    <xf numFmtId="0" fontId="0" fillId="7" borderId="6" xfId="0" quotePrefix="1" applyFill="1" applyBorder="1" applyAlignment="1">
      <alignment horizontal="center"/>
    </xf>
    <xf numFmtId="0" fontId="0" fillId="7" borderId="3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165" fontId="0" fillId="0" borderId="0" xfId="0" applyNumberFormat="1" applyFill="1"/>
    <xf numFmtId="11" fontId="0" fillId="0" borderId="0" xfId="0" applyNumberFormat="1" applyAlignment="1">
      <alignment vertical="center" wrapText="1"/>
    </xf>
    <xf numFmtId="0" fontId="0" fillId="4" borderId="0" xfId="0" applyNumberFormat="1" applyFill="1"/>
    <xf numFmtId="0" fontId="0" fillId="0" borderId="0" xfId="0" applyNumberForma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8" borderId="0" xfId="0" applyFon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14" fillId="0" borderId="16" xfId="0" applyFont="1" applyBorder="1" applyAlignment="1">
      <alignment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0" fillId="4" borderId="0" xfId="0" applyFont="1" applyFill="1"/>
    <xf numFmtId="0" fontId="0" fillId="0" borderId="0" xfId="0" applyFill="1" applyBorder="1"/>
    <xf numFmtId="11" fontId="0" fillId="0" borderId="0" xfId="0" applyNumberForma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8" borderId="0" xfId="0" quotePrefix="1" applyFill="1"/>
    <xf numFmtId="0" fontId="0" fillId="3" borderId="3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16" fontId="0" fillId="0" borderId="0" xfId="0" applyNumberFormat="1" applyBorder="1" applyAlignment="1">
      <alignment horizontal="center"/>
    </xf>
    <xf numFmtId="0" fontId="0" fillId="0" borderId="13" xfId="0" applyNumberFormat="1" applyBorder="1"/>
    <xf numFmtId="0" fontId="0" fillId="0" borderId="8" xfId="0" applyNumberFormat="1" applyBorder="1"/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11" fontId="2" fillId="0" borderId="13" xfId="0" applyNumberFormat="1" applyFont="1" applyBorder="1" applyAlignment="1">
      <alignment horizontal="center" vertical="center"/>
    </xf>
    <xf numFmtId="11" fontId="0" fillId="0" borderId="13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164" fontId="0" fillId="3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5" xfId="0" quotePrefix="1" applyNumberFormat="1" applyBorder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1" xfId="0" quotePrefix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20" xfId="0" quotePrefix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1" fillId="0" borderId="3" xfId="0" quotePrefix="1" applyFon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0" xfId="0" applyNumberFormat="1"/>
    <xf numFmtId="165" fontId="0" fillId="0" borderId="0" xfId="0" applyNumberFormat="1"/>
    <xf numFmtId="165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15" xfId="0" applyBorder="1" applyAlignment="1">
      <alignment horizontal="right"/>
    </xf>
    <xf numFmtId="165" fontId="0" fillId="0" borderId="15" xfId="0" applyNumberFormat="1" applyBorder="1"/>
    <xf numFmtId="0" fontId="0" fillId="0" borderId="16" xfId="0" applyBorder="1" applyAlignment="1">
      <alignment horizontal="right"/>
    </xf>
    <xf numFmtId="165" fontId="0" fillId="0" borderId="16" xfId="0" applyNumberFormat="1" applyBorder="1"/>
    <xf numFmtId="0" fontId="0" fillId="0" borderId="26" xfId="0" applyBorder="1"/>
    <xf numFmtId="0" fontId="14" fillId="0" borderId="26" xfId="0" applyFont="1" applyBorder="1" applyAlignment="1">
      <alignment horizontal="center" vertical="center" wrapText="1"/>
    </xf>
    <xf numFmtId="165" fontId="0" fillId="0" borderId="15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right" wrapText="1"/>
    </xf>
    <xf numFmtId="0" fontId="0" fillId="0" borderId="0" xfId="0" applyBorder="1" applyAlignment="1">
      <alignment horizontal="right"/>
    </xf>
    <xf numFmtId="2" fontId="0" fillId="0" borderId="0" xfId="0" applyNumberFormat="1" applyBorder="1" applyAlignment="1">
      <alignment horizontal="center"/>
    </xf>
    <xf numFmtId="0" fontId="0" fillId="0" borderId="0" xfId="0" applyAlignment="1">
      <alignment horizontal="left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2" borderId="24" xfId="0" applyFill="1" applyBorder="1"/>
    <xf numFmtId="11" fontId="0" fillId="2" borderId="20" xfId="0" applyNumberFormat="1" applyFill="1" applyBorder="1"/>
    <xf numFmtId="11" fontId="0" fillId="2" borderId="24" xfId="0" applyNumberFormat="1" applyFill="1" applyBorder="1"/>
    <xf numFmtId="2" fontId="0" fillId="2" borderId="20" xfId="0" applyNumberForma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9" borderId="0" xfId="0" applyFill="1"/>
    <xf numFmtId="0" fontId="16" fillId="9" borderId="0" xfId="0" applyFont="1" applyFill="1"/>
    <xf numFmtId="0" fontId="16" fillId="9" borderId="0" xfId="0" applyFont="1" applyFill="1" applyBorder="1" applyAlignment="1">
      <alignment horizontal="center"/>
    </xf>
    <xf numFmtId="0" fontId="16" fillId="9" borderId="15" xfId="0" applyFont="1" applyFill="1" applyBorder="1" applyAlignment="1">
      <alignment horizontal="center"/>
    </xf>
    <xf numFmtId="0" fontId="16" fillId="0" borderId="0" xfId="0" applyFont="1" applyFill="1"/>
    <xf numFmtId="0" fontId="1" fillId="0" borderId="0" xfId="0" applyFont="1" applyFill="1"/>
    <xf numFmtId="0" fontId="16" fillId="9" borderId="0" xfId="0" applyFont="1" applyFill="1" applyAlignment="1">
      <alignment vertical="center"/>
    </xf>
    <xf numFmtId="0" fontId="15" fillId="9" borderId="0" xfId="0" applyFont="1" applyFill="1"/>
    <xf numFmtId="11" fontId="17" fillId="7" borderId="4" xfId="0" applyNumberFormat="1" applyFont="1" applyFill="1" applyBorder="1" applyAlignment="1">
      <alignment horizontal="center"/>
    </xf>
    <xf numFmtId="11" fontId="17" fillId="0" borderId="0" xfId="0" applyNumberFormat="1" applyFont="1" applyFill="1"/>
    <xf numFmtId="0" fontId="17" fillId="0" borderId="15" xfId="0" applyFont="1" applyFill="1" applyBorder="1"/>
    <xf numFmtId="0" fontId="17" fillId="0" borderId="0" xfId="0" applyFont="1" applyFill="1"/>
    <xf numFmtId="11" fontId="17" fillId="0" borderId="15" xfId="0" applyNumberFormat="1" applyFont="1" applyFill="1" applyBorder="1"/>
    <xf numFmtId="165" fontId="17" fillId="0" borderId="0" xfId="0" applyNumberFormat="1" applyFont="1" applyFill="1" applyAlignment="1">
      <alignment horizontal="center"/>
    </xf>
    <xf numFmtId="1" fontId="17" fillId="0" borderId="0" xfId="0" applyNumberFormat="1" applyFont="1" applyFill="1"/>
    <xf numFmtId="0" fontId="0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414399</xdr:colOff>
      <xdr:row>0</xdr:row>
      <xdr:rowOff>142874</xdr:rowOff>
    </xdr:from>
    <xdr:to>
      <xdr:col>15</xdr:col>
      <xdr:colOff>390525</xdr:colOff>
      <xdr:row>36</xdr:row>
      <xdr:rowOff>37275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99" y="142874"/>
          <a:ext cx="8834376" cy="6752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609599</xdr:colOff>
      <xdr:row>1</xdr:row>
      <xdr:rowOff>0</xdr:rowOff>
    </xdr:from>
    <xdr:to>
      <xdr:col>23</xdr:col>
      <xdr:colOff>295274</xdr:colOff>
      <xdr:row>41</xdr:row>
      <xdr:rowOff>154930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856269-0220-4DD0-896B-A7A725740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3599" y="190500"/>
          <a:ext cx="4562475" cy="7774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371475</xdr:colOff>
      <xdr:row>75</xdr:row>
      <xdr:rowOff>46435</xdr:rowOff>
    </xdr:from>
    <xdr:to>
      <xdr:col>17</xdr:col>
      <xdr:colOff>507057</xdr:colOff>
      <xdr:row>82</xdr:row>
      <xdr:rowOff>112279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381DB7-D894-4A10-A1F8-099D6136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5" y="11562160"/>
          <a:ext cx="4380557" cy="1399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371475</xdr:colOff>
      <xdr:row>76</xdr:row>
      <xdr:rowOff>46435</xdr:rowOff>
    </xdr:from>
    <xdr:to>
      <xdr:col>17</xdr:col>
      <xdr:colOff>507057</xdr:colOff>
      <xdr:row>83</xdr:row>
      <xdr:rowOff>112279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1B37C2-7454-4956-8F9D-A3AB9494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67975" y="17229535"/>
          <a:ext cx="4383732" cy="13993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13</xdr:col>
      <xdr:colOff>46587</xdr:colOff>
      <xdr:row>32</xdr:row>
      <xdr:rowOff>85214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353C4B-FC90-4680-BFF8-C5A35E02C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0"/>
          <a:ext cx="8304762" cy="408571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29</xdr:col>
      <xdr:colOff>52376</xdr:colOff>
      <xdr:row>32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CB7DD8-F8B2-4DB0-879B-0C363BCB1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8175" y="2095500"/>
          <a:ext cx="9501176" cy="4152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20</xdr:col>
      <xdr:colOff>74642</xdr:colOff>
      <xdr:row>76</xdr:row>
      <xdr:rowOff>122905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4D4E8E-55EA-42AB-97AE-6ACD83233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239000"/>
          <a:ext cx="12466667" cy="73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topLeftCell="A14" workbookViewId="0">
      <selection activeCell="Z21" sqref="Z21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820A-598B-460C-B063-AE93BD22DCD4}">
  <sheetPr codeName="Sheet2"/>
  <dimension ref="A1:AW117"/>
  <sheetViews>
    <sheetView topLeftCell="A90" workbookViewId="0">
      <selection activeCell="F111" sqref="F111"/>
    </sheetView>
  </sheetViews>
  <sheetFormatPr defaultColWidth="8.85546875" defaultRowHeight="15" x14ac:dyDescent="0.25"/>
  <cols>
    <col min="1" max="1" width="12.85546875" customWidth="1"/>
    <col min="2" max="2" width="12.140625" customWidth="1"/>
    <col min="3" max="3" width="9.85546875" customWidth="1"/>
    <col min="4" max="4" width="12.140625" bestFit="1" customWidth="1"/>
    <col min="5" max="5" width="10.42578125" bestFit="1" customWidth="1"/>
    <col min="6" max="6" width="13" customWidth="1"/>
    <col min="7" max="7" width="14.140625" customWidth="1"/>
    <col min="8" max="11" width="16.7109375" customWidth="1"/>
    <col min="12" max="12" width="13.7109375" bestFit="1" customWidth="1"/>
    <col min="13" max="13" width="10.42578125" customWidth="1"/>
    <col min="15" max="15" width="12" bestFit="1" customWidth="1"/>
    <col min="17" max="17" width="9.85546875" customWidth="1"/>
    <col min="18" max="18" width="13" customWidth="1"/>
    <col min="20" max="20" width="13.140625" customWidth="1"/>
    <col min="22" max="22" width="15.140625" customWidth="1"/>
    <col min="23" max="23" width="12.7109375" customWidth="1"/>
    <col min="24" max="24" width="14.85546875" customWidth="1"/>
    <col min="25" max="25" width="12.85546875" customWidth="1"/>
    <col min="26" max="26" width="18.85546875" customWidth="1"/>
    <col min="27" max="27" width="12.140625" customWidth="1"/>
    <col min="28" max="28" width="12.42578125" customWidth="1"/>
  </cols>
  <sheetData>
    <row r="1" spans="1:13" x14ac:dyDescent="0.25">
      <c r="A1" s="2" t="s">
        <v>130</v>
      </c>
      <c r="E1" s="3"/>
    </row>
    <row r="2" spans="1:13" ht="18.75" x14ac:dyDescent="0.25">
      <c r="A2" s="51" t="s">
        <v>140</v>
      </c>
    </row>
    <row r="3" spans="1:13" x14ac:dyDescent="0.25">
      <c r="H3" s="142"/>
      <c r="I3" s="142"/>
    </row>
    <row r="4" spans="1:13" x14ac:dyDescent="0.25">
      <c r="H4" s="66"/>
      <c r="I4" s="66"/>
    </row>
    <row r="5" spans="1:13" x14ac:dyDescent="0.25">
      <c r="A5" s="2" t="s">
        <v>129</v>
      </c>
      <c r="B5" s="5">
        <v>1</v>
      </c>
      <c r="C5" s="7" t="s">
        <v>88</v>
      </c>
      <c r="H5" s="66"/>
      <c r="I5" s="66"/>
    </row>
    <row r="6" spans="1:13" x14ac:dyDescent="0.25">
      <c r="A6" s="2"/>
      <c r="H6" s="66"/>
      <c r="I6" s="66"/>
    </row>
    <row r="7" spans="1:13" x14ac:dyDescent="0.25">
      <c r="A7" s="2" t="s">
        <v>139</v>
      </c>
      <c r="H7" s="66"/>
      <c r="I7" s="66"/>
    </row>
    <row r="8" spans="1:13" x14ac:dyDescent="0.25">
      <c r="A8" s="2" t="s">
        <v>46</v>
      </c>
      <c r="B8" s="106">
        <v>1.4999999999999999E-2</v>
      </c>
      <c r="C8" s="54" t="s">
        <v>47</v>
      </c>
      <c r="D8" s="54"/>
      <c r="E8" t="s">
        <v>232</v>
      </c>
      <c r="H8" s="66"/>
      <c r="I8" s="66"/>
    </row>
    <row r="9" spans="1:13" x14ac:dyDescent="0.25">
      <c r="H9" s="66"/>
      <c r="I9" s="66"/>
    </row>
    <row r="10" spans="1:13" ht="18.75" x14ac:dyDescent="0.3">
      <c r="A10" s="59" t="s">
        <v>162</v>
      </c>
      <c r="B10" s="67"/>
      <c r="C10" s="67"/>
      <c r="D10" s="67"/>
      <c r="E10" s="67"/>
      <c r="F10" s="67"/>
      <c r="H10" s="66"/>
      <c r="I10" s="66"/>
    </row>
    <row r="11" spans="1:13" x14ac:dyDescent="0.25">
      <c r="K11" s="6"/>
      <c r="L11" s="6"/>
      <c r="M11" s="6"/>
    </row>
    <row r="12" spans="1:13" x14ac:dyDescent="0.25">
      <c r="A12" s="2" t="s">
        <v>45</v>
      </c>
      <c r="B12" t="s">
        <v>13</v>
      </c>
      <c r="K12" s="6"/>
      <c r="L12" s="6"/>
      <c r="M12" s="6"/>
    </row>
    <row r="13" spans="1:13" x14ac:dyDescent="0.25">
      <c r="A13" t="s">
        <v>153</v>
      </c>
      <c r="C13" t="s">
        <v>20</v>
      </c>
    </row>
    <row r="14" spans="1:13" x14ac:dyDescent="0.25">
      <c r="D14" s="4" t="s">
        <v>36</v>
      </c>
      <c r="E14" s="7">
        <f>G16*K25/(K26*G20*G22*K23)</f>
        <v>24839.344064106303</v>
      </c>
      <c r="F14" t="s">
        <v>49</v>
      </c>
      <c r="G14" t="s">
        <v>52</v>
      </c>
    </row>
    <row r="15" spans="1:13" x14ac:dyDescent="0.25">
      <c r="D15" s="4" t="s">
        <v>36</v>
      </c>
      <c r="E15" s="7">
        <f>G16*K25/(K26*G21*G22*K23)</f>
        <v>1655.9562709404199</v>
      </c>
      <c r="F15" t="s">
        <v>49</v>
      </c>
      <c r="G15" t="s">
        <v>53</v>
      </c>
    </row>
    <row r="16" spans="1:13" x14ac:dyDescent="0.25">
      <c r="A16" t="s">
        <v>154</v>
      </c>
      <c r="C16" s="2" t="s">
        <v>14</v>
      </c>
      <c r="D16" t="s">
        <v>15</v>
      </c>
      <c r="F16" s="4" t="s">
        <v>36</v>
      </c>
      <c r="G16" s="7">
        <f>B8*G18*86400</f>
        <v>25.919999999999998</v>
      </c>
      <c r="H16" t="s">
        <v>48</v>
      </c>
    </row>
    <row r="17" spans="1:17" x14ac:dyDescent="0.25">
      <c r="D17" t="s">
        <v>16</v>
      </c>
      <c r="J17" s="6"/>
    </row>
    <row r="18" spans="1:17" x14ac:dyDescent="0.25">
      <c r="C18" t="s">
        <v>17</v>
      </c>
      <c r="D18" t="s">
        <v>18</v>
      </c>
      <c r="F18" s="4" t="s">
        <v>36</v>
      </c>
      <c r="G18" s="5">
        <v>0.02</v>
      </c>
      <c r="H18" t="s">
        <v>50</v>
      </c>
      <c r="I18" s="3" t="s">
        <v>19</v>
      </c>
      <c r="J18" s="6"/>
      <c r="O18" s="6"/>
    </row>
    <row r="19" spans="1:17" x14ac:dyDescent="0.25">
      <c r="F19" s="6"/>
      <c r="H19" s="3"/>
      <c r="J19" s="6"/>
    </row>
    <row r="20" spans="1:17" x14ac:dyDescent="0.25">
      <c r="C20" t="s">
        <v>37</v>
      </c>
      <c r="D20" t="s">
        <v>38</v>
      </c>
      <c r="F20" s="4" t="s">
        <v>36</v>
      </c>
      <c r="G20" s="7">
        <v>0.01</v>
      </c>
      <c r="H20" t="s">
        <v>44</v>
      </c>
      <c r="J20" t="s">
        <v>52</v>
      </c>
      <c r="K20" s="6"/>
    </row>
    <row r="21" spans="1:17" x14ac:dyDescent="0.25">
      <c r="F21" s="4" t="s">
        <v>36</v>
      </c>
      <c r="G21" s="7">
        <v>0.15</v>
      </c>
      <c r="H21" t="s">
        <v>51</v>
      </c>
      <c r="J21" t="s">
        <v>53</v>
      </c>
      <c r="K21" s="6"/>
    </row>
    <row r="22" spans="1:17" x14ac:dyDescent="0.25">
      <c r="C22" t="s">
        <v>39</v>
      </c>
      <c r="D22" t="s">
        <v>40</v>
      </c>
      <c r="F22" s="4" t="s">
        <v>36</v>
      </c>
      <c r="G22" s="7">
        <v>1333</v>
      </c>
      <c r="H22" t="s">
        <v>41</v>
      </c>
    </row>
    <row r="23" spans="1:17" x14ac:dyDescent="0.25">
      <c r="C23" t="s">
        <v>30</v>
      </c>
      <c r="D23" s="3" t="s">
        <v>31</v>
      </c>
      <c r="J23" s="4" t="s">
        <v>36</v>
      </c>
      <c r="K23" s="7">
        <v>25550</v>
      </c>
      <c r="L23" t="s">
        <v>42</v>
      </c>
      <c r="M23">
        <f>K23/365</f>
        <v>70</v>
      </c>
    </row>
    <row r="24" spans="1:17" x14ac:dyDescent="0.25">
      <c r="D24" s="3" t="s">
        <v>32</v>
      </c>
    </row>
    <row r="25" spans="1:17" ht="18.75" x14ac:dyDescent="0.35">
      <c r="A25" t="s">
        <v>155</v>
      </c>
      <c r="C25" t="s">
        <v>21</v>
      </c>
      <c r="D25" t="s">
        <v>22</v>
      </c>
      <c r="I25" t="s">
        <v>23</v>
      </c>
      <c r="J25" s="4" t="s">
        <v>36</v>
      </c>
      <c r="K25" s="7">
        <f>((EXP(-K26*25550)-EXP(0))/K26)+25550</f>
        <v>2.2618271585015464</v>
      </c>
      <c r="L25" t="s">
        <v>61</v>
      </c>
    </row>
    <row r="26" spans="1:17" ht="18.75" x14ac:dyDescent="0.35">
      <c r="A26" t="s">
        <v>156</v>
      </c>
      <c r="C26" t="s">
        <v>24</v>
      </c>
      <c r="D26" s="3" t="s">
        <v>25</v>
      </c>
      <c r="G26" s="3" t="s">
        <v>35</v>
      </c>
      <c r="I26" t="s">
        <v>43</v>
      </c>
      <c r="J26" s="4" t="s">
        <v>36</v>
      </c>
      <c r="K26" s="7">
        <f>0.693/(10^8)</f>
        <v>6.9299999999999999E-9</v>
      </c>
    </row>
    <row r="27" spans="1:17" x14ac:dyDescent="0.25">
      <c r="C27" t="s">
        <v>26</v>
      </c>
      <c r="D27" s="3" t="s">
        <v>27</v>
      </c>
      <c r="I27" s="3" t="s">
        <v>33</v>
      </c>
    </row>
    <row r="28" spans="1:17" x14ac:dyDescent="0.25">
      <c r="C28" t="s">
        <v>28</v>
      </c>
      <c r="D28" s="3" t="s">
        <v>29</v>
      </c>
      <c r="J28" s="3" t="s">
        <v>34</v>
      </c>
    </row>
    <row r="29" spans="1:17" x14ac:dyDescent="0.25">
      <c r="L29" s="105"/>
    </row>
    <row r="30" spans="1:17" ht="15.75" thickBot="1" x14ac:dyDescent="0.3">
      <c r="L30" s="105"/>
    </row>
    <row r="31" spans="1:17" ht="15.75" thickBot="1" x14ac:dyDescent="0.3">
      <c r="A31" s="2" t="s">
        <v>54</v>
      </c>
      <c r="B31" t="s">
        <v>55</v>
      </c>
      <c r="N31" s="27" t="s">
        <v>138</v>
      </c>
      <c r="O31" s="28"/>
      <c r="P31" s="29" t="s">
        <v>57</v>
      </c>
      <c r="Q31" s="1" t="s">
        <v>60</v>
      </c>
    </row>
    <row r="32" spans="1:17" x14ac:dyDescent="0.25">
      <c r="A32" t="s">
        <v>157</v>
      </c>
      <c r="C32" t="s">
        <v>56</v>
      </c>
      <c r="G32" s="4"/>
      <c r="H32" s="104"/>
      <c r="N32" s="17" t="s">
        <v>63</v>
      </c>
      <c r="O32" s="23"/>
      <c r="P32" s="11">
        <v>0</v>
      </c>
      <c r="Q32" s="68" t="s">
        <v>204</v>
      </c>
    </row>
    <row r="33" spans="1:29" x14ac:dyDescent="0.25">
      <c r="N33" s="17" t="s">
        <v>64</v>
      </c>
      <c r="O33" s="23"/>
      <c r="P33" s="11">
        <v>0.2</v>
      </c>
      <c r="Q33" s="1">
        <v>45</v>
      </c>
    </row>
    <row r="34" spans="1:29" ht="15.75" thickBot="1" x14ac:dyDescent="0.3">
      <c r="N34" s="17" t="s">
        <v>65</v>
      </c>
      <c r="O34" s="23"/>
      <c r="P34" s="11">
        <v>0</v>
      </c>
      <c r="Q34" s="68" t="s">
        <v>204</v>
      </c>
    </row>
    <row r="35" spans="1:29" x14ac:dyDescent="0.25">
      <c r="A35" s="2" t="s">
        <v>119</v>
      </c>
      <c r="B35" t="s">
        <v>118</v>
      </c>
      <c r="H35" s="87" t="s">
        <v>134</v>
      </c>
      <c r="I35" s="88" t="s">
        <v>132</v>
      </c>
      <c r="J35" s="88" t="s">
        <v>131</v>
      </c>
      <c r="K35" s="89" t="s">
        <v>133</v>
      </c>
      <c r="N35" s="17" t="s">
        <v>66</v>
      </c>
      <c r="O35" s="23"/>
      <c r="P35" s="11">
        <v>0.1</v>
      </c>
      <c r="Q35" s="1">
        <v>90</v>
      </c>
    </row>
    <row r="36" spans="1:29" ht="18" thickBot="1" x14ac:dyDescent="0.3">
      <c r="A36" t="s">
        <v>158</v>
      </c>
      <c r="C36" s="3" t="s">
        <v>159</v>
      </c>
      <c r="F36" s="10" t="s">
        <v>123</v>
      </c>
      <c r="G36" s="4" t="s">
        <v>36</v>
      </c>
      <c r="H36" s="97">
        <v>0</v>
      </c>
      <c r="I36" s="83">
        <f>(I38*I39/(I40*I41))*(1-EXP(-I40*I42))</f>
        <v>25.632054809728757</v>
      </c>
      <c r="J36" s="83">
        <f>(J38*J39/(J40*J41))*(1-EXP(-J40*J42))</f>
        <v>12.958400608939035</v>
      </c>
      <c r="K36" s="98">
        <v>0</v>
      </c>
      <c r="N36" s="19" t="s">
        <v>67</v>
      </c>
      <c r="O36" s="25"/>
      <c r="P36" s="12">
        <v>0.7</v>
      </c>
    </row>
    <row r="37" spans="1:29" ht="15.75" thickBot="1" x14ac:dyDescent="0.3">
      <c r="A37" s="2"/>
      <c r="B37" s="4"/>
      <c r="F37" s="3"/>
      <c r="H37" s="79"/>
      <c r="I37" s="80"/>
      <c r="J37" s="80"/>
      <c r="K37" s="81"/>
      <c r="U37" s="39" t="s">
        <v>8</v>
      </c>
      <c r="V37" s="15"/>
      <c r="W37" s="15"/>
      <c r="X37" s="15"/>
      <c r="Y37" s="15"/>
      <c r="Z37" s="15"/>
      <c r="AA37" s="15"/>
      <c r="AB37" s="15"/>
      <c r="AC37" s="16"/>
    </row>
    <row r="38" spans="1:29" x14ac:dyDescent="0.25">
      <c r="A38" s="2"/>
      <c r="B38" t="s">
        <v>14</v>
      </c>
      <c r="C38" t="s">
        <v>122</v>
      </c>
      <c r="E38" s="3"/>
      <c r="G38" s="4" t="s">
        <v>36</v>
      </c>
      <c r="H38" s="79">
        <f>G16</f>
        <v>25.919999999999998</v>
      </c>
      <c r="I38" s="80">
        <f>G16</f>
        <v>25.919999999999998</v>
      </c>
      <c r="J38" s="80">
        <f>G16</f>
        <v>25.919999999999998</v>
      </c>
      <c r="K38" s="81">
        <f>G16</f>
        <v>25.919999999999998</v>
      </c>
      <c r="N38" s="13" t="s">
        <v>124</v>
      </c>
      <c r="O38" s="15" t="s">
        <v>192</v>
      </c>
      <c r="P38" s="15"/>
      <c r="Q38" s="15"/>
      <c r="R38" s="16"/>
      <c r="U38" s="40" t="s">
        <v>9</v>
      </c>
      <c r="V38" s="41"/>
      <c r="W38" s="23"/>
      <c r="X38" s="23"/>
      <c r="Y38" s="23"/>
      <c r="Z38" s="23"/>
      <c r="AA38" s="23"/>
      <c r="AB38" s="23"/>
      <c r="AC38" s="24"/>
    </row>
    <row r="39" spans="1:29" ht="78" thickBot="1" x14ac:dyDescent="0.3">
      <c r="B39" s="70" t="s">
        <v>57</v>
      </c>
      <c r="C39" s="70" t="s">
        <v>62</v>
      </c>
      <c r="D39" s="70"/>
      <c r="E39" s="70"/>
      <c r="F39" s="70"/>
      <c r="G39" s="72" t="s">
        <v>36</v>
      </c>
      <c r="H39" s="102">
        <f>P32</f>
        <v>0</v>
      </c>
      <c r="I39" s="103">
        <f>P33</f>
        <v>0.2</v>
      </c>
      <c r="J39" s="80">
        <f>P35</f>
        <v>0.1</v>
      </c>
      <c r="K39" s="81">
        <f>P34</f>
        <v>0</v>
      </c>
      <c r="N39" s="19"/>
      <c r="O39" s="49" t="s">
        <v>134</v>
      </c>
      <c r="P39" s="49" t="s">
        <v>132</v>
      </c>
      <c r="Q39" s="49" t="s">
        <v>131</v>
      </c>
      <c r="R39" s="50" t="s">
        <v>133</v>
      </c>
      <c r="U39" s="42" t="s">
        <v>0</v>
      </c>
      <c r="V39" s="43" t="s">
        <v>2</v>
      </c>
      <c r="W39" s="44" t="s">
        <v>3</v>
      </c>
      <c r="X39" s="44" t="s">
        <v>4</v>
      </c>
      <c r="Y39" s="44" t="s">
        <v>5</v>
      </c>
      <c r="Z39" s="44" t="s">
        <v>6</v>
      </c>
      <c r="AA39" s="44" t="s">
        <v>10</v>
      </c>
      <c r="AB39" s="44" t="s">
        <v>11</v>
      </c>
      <c r="AC39" s="45" t="s">
        <v>12</v>
      </c>
    </row>
    <row r="40" spans="1:29" ht="18" thickBot="1" x14ac:dyDescent="0.3">
      <c r="B40" t="s">
        <v>58</v>
      </c>
      <c r="C40" t="s">
        <v>59</v>
      </c>
      <c r="G40" s="4" t="s">
        <v>36</v>
      </c>
      <c r="H40" s="79">
        <v>0</v>
      </c>
      <c r="I40" s="80">
        <v>0.1</v>
      </c>
      <c r="J40" s="80">
        <v>0.1</v>
      </c>
      <c r="K40" s="81">
        <v>0</v>
      </c>
      <c r="N40" s="27" t="s">
        <v>88</v>
      </c>
      <c r="O40" s="133">
        <v>8.0000000000000002E-3</v>
      </c>
      <c r="P40" s="133">
        <v>0.01</v>
      </c>
      <c r="Q40" s="133">
        <v>0.02</v>
      </c>
      <c r="R40" s="134">
        <v>7.0000000000000007E-2</v>
      </c>
      <c r="U40" s="135" t="s">
        <v>7</v>
      </c>
      <c r="V40" s="136" t="s">
        <v>1</v>
      </c>
      <c r="W40" s="137">
        <v>0.2</v>
      </c>
      <c r="X40" s="138">
        <v>1.4999999999999999E-2</v>
      </c>
      <c r="Y40" s="139">
        <v>1.4999999999999999E-2</v>
      </c>
      <c r="Z40" s="138">
        <v>3.4999999999999999E-6</v>
      </c>
      <c r="AA40" s="137">
        <v>3.3E-3</v>
      </c>
      <c r="AB40" s="137">
        <v>12</v>
      </c>
      <c r="AC40" s="140">
        <v>1.5</v>
      </c>
    </row>
    <row r="41" spans="1:29" x14ac:dyDescent="0.25">
      <c r="B41" t="s">
        <v>60</v>
      </c>
      <c r="C41" t="s">
        <v>120</v>
      </c>
      <c r="F41" t="s">
        <v>205</v>
      </c>
      <c r="G41" s="4" t="s">
        <v>36</v>
      </c>
      <c r="H41" s="79">
        <v>2</v>
      </c>
      <c r="I41" s="80">
        <v>2</v>
      </c>
      <c r="J41" s="80">
        <v>2</v>
      </c>
      <c r="K41" s="81">
        <v>2</v>
      </c>
      <c r="N41" s="23"/>
      <c r="O41" s="61"/>
      <c r="P41" s="61"/>
      <c r="Q41" s="61"/>
      <c r="R41" s="61"/>
      <c r="S41" s="23"/>
      <c r="T41" s="23"/>
      <c r="U41" s="23"/>
      <c r="V41" s="18"/>
      <c r="W41" s="23"/>
      <c r="X41" s="23"/>
      <c r="Y41" s="61"/>
      <c r="Z41" s="23"/>
      <c r="AA41" s="48"/>
      <c r="AB41" s="23"/>
      <c r="AC41" s="23"/>
    </row>
    <row r="42" spans="1:29" ht="15.75" thickBot="1" x14ac:dyDescent="0.3">
      <c r="B42" t="s">
        <v>117</v>
      </c>
      <c r="C42" t="s">
        <v>121</v>
      </c>
      <c r="G42" s="4" t="s">
        <v>36</v>
      </c>
      <c r="H42" s="99" t="s">
        <v>204</v>
      </c>
      <c r="I42" s="85">
        <v>45</v>
      </c>
      <c r="J42" s="100">
        <v>90</v>
      </c>
      <c r="K42" s="101" t="s">
        <v>204</v>
      </c>
      <c r="N42" s="23"/>
      <c r="O42" s="61"/>
      <c r="P42" s="61"/>
      <c r="Q42" s="61"/>
      <c r="R42" s="61"/>
      <c r="S42" s="23"/>
      <c r="T42" s="23"/>
      <c r="U42" s="131"/>
      <c r="V42" s="46"/>
      <c r="W42" s="18"/>
      <c r="X42" s="18"/>
      <c r="Y42" s="108"/>
      <c r="Z42" s="48"/>
      <c r="AA42" s="47"/>
      <c r="AB42" s="47"/>
      <c r="AC42" s="18"/>
    </row>
    <row r="43" spans="1:29" x14ac:dyDescent="0.25">
      <c r="G43" s="4"/>
      <c r="N43" s="23"/>
      <c r="O43" s="61"/>
      <c r="P43" s="61"/>
      <c r="Q43" s="61"/>
      <c r="R43" s="61"/>
      <c r="S43" s="23"/>
      <c r="T43" s="23"/>
      <c r="U43" s="131"/>
      <c r="V43" s="46"/>
      <c r="W43" s="18"/>
      <c r="X43" s="18"/>
      <c r="Y43" s="108"/>
      <c r="Z43" s="48"/>
      <c r="AA43" s="47"/>
      <c r="AB43" s="47"/>
      <c r="AC43" s="48"/>
    </row>
    <row r="44" spans="1:29" ht="15.75" thickBot="1" x14ac:dyDescent="0.3">
      <c r="N44" s="23"/>
      <c r="O44" s="61"/>
      <c r="P44" s="61"/>
      <c r="Q44" s="61"/>
      <c r="R44" s="61"/>
      <c r="S44" s="23"/>
      <c r="T44" s="23"/>
      <c r="U44" s="131"/>
      <c r="V44" s="18"/>
      <c r="W44" s="18"/>
      <c r="X44" s="18"/>
      <c r="Y44" s="107"/>
      <c r="Z44" s="18"/>
      <c r="AA44" s="48"/>
      <c r="AB44" s="48"/>
      <c r="AC44" s="18"/>
    </row>
    <row r="45" spans="1:29" x14ac:dyDescent="0.25">
      <c r="A45" s="2" t="s">
        <v>68</v>
      </c>
      <c r="B45" t="s">
        <v>69</v>
      </c>
      <c r="H45" s="87" t="s">
        <v>134</v>
      </c>
      <c r="I45" s="88" t="s">
        <v>132</v>
      </c>
      <c r="J45" s="88" t="s">
        <v>131</v>
      </c>
      <c r="K45" s="89" t="s">
        <v>133</v>
      </c>
      <c r="N45" s="23"/>
      <c r="O45" s="61"/>
      <c r="P45" s="61"/>
      <c r="Q45" s="61"/>
      <c r="R45" s="61"/>
      <c r="S45" s="23"/>
      <c r="T45" s="23"/>
      <c r="U45" s="131"/>
      <c r="V45" s="46"/>
      <c r="W45" s="47"/>
      <c r="X45" s="48"/>
      <c r="Y45" s="107"/>
      <c r="Z45" s="48"/>
      <c r="AA45" s="47"/>
      <c r="AB45" s="47"/>
      <c r="AC45" s="18"/>
    </row>
    <row r="46" spans="1:29" ht="18" x14ac:dyDescent="0.35">
      <c r="A46" t="s">
        <v>161</v>
      </c>
      <c r="C46" s="3" t="s">
        <v>160</v>
      </c>
      <c r="F46" t="s">
        <v>74</v>
      </c>
      <c r="G46" s="4" t="s">
        <v>36</v>
      </c>
      <c r="H46" s="76">
        <f>H48*H49</f>
        <v>13.247650167523359</v>
      </c>
      <c r="I46" s="77">
        <f>I48*I49</f>
        <v>16.559562709404201</v>
      </c>
      <c r="J46" s="77">
        <f>J48*J49</f>
        <v>33.119125418808402</v>
      </c>
      <c r="K46" s="90">
        <f>K48*K49</f>
        <v>115.9169389658294</v>
      </c>
      <c r="N46" s="23"/>
      <c r="O46" s="61"/>
      <c r="P46" s="61"/>
      <c r="Q46" s="61"/>
      <c r="R46" s="61"/>
      <c r="S46" s="23"/>
      <c r="T46" s="23"/>
      <c r="U46" s="131"/>
      <c r="V46" s="46"/>
      <c r="W46" s="18"/>
      <c r="X46" s="132"/>
      <c r="Y46" s="108"/>
      <c r="Z46" s="48"/>
      <c r="AA46" s="18"/>
      <c r="AB46" s="132"/>
      <c r="AC46" s="18"/>
    </row>
    <row r="47" spans="1:29" x14ac:dyDescent="0.25">
      <c r="H47" s="76"/>
      <c r="I47" s="77"/>
      <c r="J47" s="77"/>
      <c r="K47" s="90"/>
    </row>
    <row r="48" spans="1:29" x14ac:dyDescent="0.25">
      <c r="A48" s="4"/>
      <c r="B48" t="s">
        <v>45</v>
      </c>
      <c r="C48" t="s">
        <v>125</v>
      </c>
      <c r="G48" s="4" t="s">
        <v>36</v>
      </c>
      <c r="H48" s="76">
        <f>E15</f>
        <v>1655.9562709404199</v>
      </c>
      <c r="I48" s="77">
        <f>H48</f>
        <v>1655.9562709404199</v>
      </c>
      <c r="J48" s="77">
        <f t="shared" ref="J48:K48" si="0">I48</f>
        <v>1655.9562709404199</v>
      </c>
      <c r="K48" s="90">
        <f t="shared" si="0"/>
        <v>1655.9562709404199</v>
      </c>
    </row>
    <row r="49" spans="1:11" ht="15.75" thickBot="1" x14ac:dyDescent="0.3">
      <c r="B49" t="s">
        <v>124</v>
      </c>
      <c r="C49" t="s">
        <v>126</v>
      </c>
      <c r="G49" s="4" t="s">
        <v>36</v>
      </c>
      <c r="H49" s="91" cm="1">
        <f t="array" ref="H49">INDEX(O40:O46,$B$5)</f>
        <v>8.0000000000000002E-3</v>
      </c>
      <c r="I49" s="92" cm="1">
        <f t="array" ref="I49">INDEX(P40:P46,$B$5)</f>
        <v>0.01</v>
      </c>
      <c r="J49" s="92" cm="1">
        <f t="array" ref="J49">INDEX(Q40:Q46,$B$5)</f>
        <v>0.02</v>
      </c>
      <c r="K49" s="93" cm="1">
        <f t="array" ref="K49">INDEX(R40:R46,$B$5)</f>
        <v>7.0000000000000007E-2</v>
      </c>
    </row>
    <row r="51" spans="1:11" ht="15.75" thickBot="1" x14ac:dyDescent="0.3">
      <c r="A51" t="s">
        <v>54</v>
      </c>
      <c r="G51" s="2" t="s">
        <v>208</v>
      </c>
    </row>
    <row r="52" spans="1:11" ht="15.75" thickBot="1" x14ac:dyDescent="0.3">
      <c r="A52" t="s">
        <v>206</v>
      </c>
      <c r="C52" t="s">
        <v>207</v>
      </c>
      <c r="H52" s="94">
        <f>H36+H46</f>
        <v>13.247650167523359</v>
      </c>
      <c r="I52" s="95">
        <f>I36+I46</f>
        <v>42.191617519132961</v>
      </c>
      <c r="J52" s="95">
        <f>J36+J46</f>
        <v>46.077526027747439</v>
      </c>
      <c r="K52" s="96">
        <f>K36+K46</f>
        <v>115.9169389658294</v>
      </c>
    </row>
    <row r="53" spans="1:11" ht="18.75" x14ac:dyDescent="0.3">
      <c r="A53" s="59" t="s">
        <v>166</v>
      </c>
      <c r="B53" s="60"/>
      <c r="C53" s="60"/>
      <c r="D53" s="60"/>
      <c r="E53" s="60"/>
      <c r="F53" s="60"/>
    </row>
    <row r="55" spans="1:11" x14ac:dyDescent="0.25">
      <c r="A55" s="2" t="s">
        <v>149</v>
      </c>
    </row>
    <row r="56" spans="1:11" x14ac:dyDescent="0.25">
      <c r="A56" t="s">
        <v>142</v>
      </c>
    </row>
    <row r="57" spans="1:11" x14ac:dyDescent="0.25">
      <c r="B57" t="s">
        <v>146</v>
      </c>
      <c r="C57" s="52" cm="1">
        <f t="array" ref="C57">INDEX(Z40:Z46,B5)</f>
        <v>3.4999999999999999E-6</v>
      </c>
      <c r="D57" s="2" t="s">
        <v>147</v>
      </c>
      <c r="G57" s="53" t="s">
        <v>144</v>
      </c>
    </row>
    <row r="59" spans="1:11" x14ac:dyDescent="0.25">
      <c r="A59" s="2" t="s">
        <v>145</v>
      </c>
    </row>
    <row r="60" spans="1:11" x14ac:dyDescent="0.25">
      <c r="A60" s="2" t="s">
        <v>141</v>
      </c>
    </row>
    <row r="61" spans="1:11" x14ac:dyDescent="0.25">
      <c r="B61" t="s">
        <v>46</v>
      </c>
      <c r="C61" t="s">
        <v>163</v>
      </c>
      <c r="F61" t="s">
        <v>36</v>
      </c>
      <c r="G61">
        <f>B8</f>
        <v>1.4999999999999999E-2</v>
      </c>
      <c r="H61" t="s">
        <v>47</v>
      </c>
    </row>
    <row r="62" spans="1:11" x14ac:dyDescent="0.25">
      <c r="B62" t="s">
        <v>148</v>
      </c>
      <c r="C62" t="s">
        <v>164</v>
      </c>
      <c r="G62" s="56" cm="1">
        <f t="array" ref="G62">INDEX(Y40:Y46,B5)</f>
        <v>1.4999999999999999E-2</v>
      </c>
      <c r="H62" t="s">
        <v>47</v>
      </c>
    </row>
    <row r="63" spans="1:11" x14ac:dyDescent="0.25">
      <c r="B63" s="54" t="s">
        <v>143</v>
      </c>
      <c r="C63" t="s">
        <v>165</v>
      </c>
      <c r="G63" s="55">
        <f>G61/G62</f>
        <v>1</v>
      </c>
    </row>
    <row r="66" spans="1:20" ht="18.75" x14ac:dyDescent="0.25">
      <c r="A66" s="2" t="s">
        <v>110</v>
      </c>
      <c r="B66" t="s">
        <v>111</v>
      </c>
      <c r="F66" t="s">
        <v>70</v>
      </c>
      <c r="H66" t="s">
        <v>218</v>
      </c>
      <c r="J66" t="s">
        <v>217</v>
      </c>
      <c r="L66" s="51" t="s">
        <v>150</v>
      </c>
    </row>
    <row r="67" spans="1:20" ht="18" thickBot="1" x14ac:dyDescent="0.3">
      <c r="C67" s="3" t="s">
        <v>167</v>
      </c>
      <c r="G67" s="4" t="s">
        <v>36</v>
      </c>
      <c r="H67" s="57">
        <f>(H71*H69*H70*(10^-9))/350</f>
        <v>9.8302971447173339E-6</v>
      </c>
      <c r="I67" t="s">
        <v>70</v>
      </c>
      <c r="J67" s="57">
        <f>(J71*J69*J70*(10^-9))/350</f>
        <v>2.1290866340662547E-5</v>
      </c>
    </row>
    <row r="68" spans="1:20" x14ac:dyDescent="0.25">
      <c r="C68" s="52"/>
      <c r="J68" s="56"/>
      <c r="L68" s="13"/>
      <c r="M68" s="14" t="s">
        <v>137</v>
      </c>
      <c r="N68" s="14"/>
      <c r="O68" s="14"/>
      <c r="P68" s="14"/>
      <c r="Q68" s="14"/>
      <c r="R68" s="14"/>
      <c r="S68" s="14"/>
      <c r="T68" s="16"/>
    </row>
    <row r="69" spans="1:20" ht="15.75" thickBot="1" x14ac:dyDescent="0.3">
      <c r="B69" t="s">
        <v>45</v>
      </c>
      <c r="C69" t="s">
        <v>73</v>
      </c>
      <c r="D69" t="s">
        <v>74</v>
      </c>
      <c r="G69" s="4" t="s">
        <v>36</v>
      </c>
      <c r="H69" s="7">
        <f>E14</f>
        <v>24839.344064106303</v>
      </c>
      <c r="J69">
        <f>H69</f>
        <v>24839.344064106303</v>
      </c>
      <c r="L69" s="19"/>
      <c r="M69" s="33"/>
      <c r="N69" s="33" t="s">
        <v>80</v>
      </c>
      <c r="O69" s="33" t="s">
        <v>81</v>
      </c>
      <c r="P69" s="34" t="s">
        <v>82</v>
      </c>
      <c r="Q69" s="35" t="s">
        <v>83</v>
      </c>
      <c r="R69" s="33" t="s">
        <v>85</v>
      </c>
      <c r="S69" s="33" t="s">
        <v>84</v>
      </c>
      <c r="T69" s="26"/>
    </row>
    <row r="70" spans="1:20" x14ac:dyDescent="0.25">
      <c r="B70" t="s">
        <v>75</v>
      </c>
      <c r="C70" t="s">
        <v>76</v>
      </c>
      <c r="G70" s="4" t="s">
        <v>36</v>
      </c>
      <c r="H70" s="7">
        <f>INDEX(D77:D83,B5)/100</f>
        <v>0.06</v>
      </c>
      <c r="J70">
        <f>H70</f>
        <v>0.06</v>
      </c>
      <c r="L70" s="13" t="s">
        <v>77</v>
      </c>
      <c r="M70" s="16" t="s">
        <v>86</v>
      </c>
      <c r="N70" s="31">
        <v>1200</v>
      </c>
      <c r="O70" s="31">
        <v>3600</v>
      </c>
      <c r="P70" s="31">
        <v>7500</v>
      </c>
      <c r="Q70" s="31">
        <v>6400</v>
      </c>
      <c r="R70" s="31">
        <v>1200</v>
      </c>
      <c r="S70" s="31">
        <v>2600</v>
      </c>
      <c r="T70" s="24"/>
    </row>
    <row r="71" spans="1:20" x14ac:dyDescent="0.25">
      <c r="B71" t="s">
        <v>71</v>
      </c>
      <c r="C71" t="s">
        <v>72</v>
      </c>
      <c r="G71" s="4" t="s">
        <v>36</v>
      </c>
      <c r="H71" s="9">
        <f>(2*H72+14*H73+(70-16)*H74)/70</f>
        <v>2308.5714285714284</v>
      </c>
      <c r="I71" t="str">
        <f>E72&amp;" "&amp;F72&amp;" Weight"</f>
        <v>Warm Mean Weight</v>
      </c>
      <c r="J71" s="52">
        <f>S71</f>
        <v>5000</v>
      </c>
      <c r="L71" s="17" t="str">
        <f>L70</f>
        <v>Warm</v>
      </c>
      <c r="M71" s="24" t="s">
        <v>87</v>
      </c>
      <c r="N71" s="31">
        <v>2600</v>
      </c>
      <c r="O71" s="31">
        <v>4300</v>
      </c>
      <c r="P71" s="31">
        <v>9100</v>
      </c>
      <c r="Q71" s="31">
        <v>8500</v>
      </c>
      <c r="R71" s="31">
        <v>2600</v>
      </c>
      <c r="S71" s="31">
        <v>5000</v>
      </c>
      <c r="T71" s="24"/>
    </row>
    <row r="72" spans="1:20" x14ac:dyDescent="0.25">
      <c r="B72" t="s">
        <v>151</v>
      </c>
      <c r="D72" s="5">
        <v>1</v>
      </c>
      <c r="E72" t="str" cm="1">
        <f t="array" ref="E72">INDEX(L70:L75,D72)</f>
        <v>Warm</v>
      </c>
      <c r="F72" t="str" cm="1">
        <f t="array" ref="F72">INDEX(M70:M75,D72)</f>
        <v>Mean</v>
      </c>
      <c r="G72" s="10" t="s">
        <v>81</v>
      </c>
      <c r="H72" s="7" cm="1">
        <f t="array" ref="H72">INDEX(O$70:O$75,$D$72)</f>
        <v>3600</v>
      </c>
      <c r="L72" s="17" t="s">
        <v>78</v>
      </c>
      <c r="M72" s="24" t="s">
        <v>86</v>
      </c>
      <c r="N72" s="31">
        <v>1100</v>
      </c>
      <c r="O72" s="31">
        <v>2200</v>
      </c>
      <c r="P72" s="31">
        <v>6600</v>
      </c>
      <c r="Q72" s="31">
        <v>5700</v>
      </c>
      <c r="R72" s="31">
        <v>1100</v>
      </c>
      <c r="S72" s="31">
        <v>2600</v>
      </c>
      <c r="T72" s="24"/>
    </row>
    <row r="73" spans="1:20" x14ac:dyDescent="0.25">
      <c r="G73" s="58" t="s">
        <v>83</v>
      </c>
      <c r="H73" s="7" cm="1">
        <f t="array" ref="H73">INDEX(Q$70:Q$75,$D$72)</f>
        <v>6400</v>
      </c>
      <c r="L73" s="17" t="str">
        <f>L72</f>
        <v>Mixed</v>
      </c>
      <c r="M73" s="24" t="s">
        <v>87</v>
      </c>
      <c r="N73" s="31">
        <v>2400</v>
      </c>
      <c r="O73" s="31">
        <v>2900</v>
      </c>
      <c r="P73" s="31">
        <v>8700</v>
      </c>
      <c r="Q73" s="31">
        <v>8100</v>
      </c>
      <c r="R73" s="31">
        <v>2400</v>
      </c>
      <c r="S73" s="31">
        <v>5000</v>
      </c>
      <c r="T73" s="24"/>
    </row>
    <row r="74" spans="1:20" x14ac:dyDescent="0.25">
      <c r="G74" s="4" t="s">
        <v>203</v>
      </c>
      <c r="H74" s="7" cm="1">
        <f t="array" ref="H74">INDEX(R$70:R$75,$D$72)</f>
        <v>1200</v>
      </c>
      <c r="L74" s="17" t="s">
        <v>79</v>
      </c>
      <c r="M74" s="24" t="s">
        <v>86</v>
      </c>
      <c r="N74" s="31">
        <v>700</v>
      </c>
      <c r="O74" s="31">
        <v>1200</v>
      </c>
      <c r="P74" s="31">
        <v>3100</v>
      </c>
      <c r="Q74" s="31">
        <v>2800</v>
      </c>
      <c r="R74" s="31">
        <v>700</v>
      </c>
      <c r="S74" s="31">
        <v>2600</v>
      </c>
      <c r="T74" s="24"/>
    </row>
    <row r="75" spans="1:20" ht="15.75" thickBot="1" x14ac:dyDescent="0.3">
      <c r="G75" s="4"/>
      <c r="H75" s="6"/>
      <c r="L75" s="19" t="str">
        <f>L74</f>
        <v>Cold</v>
      </c>
      <c r="M75" s="26" t="s">
        <v>87</v>
      </c>
      <c r="N75" s="32">
        <v>2100</v>
      </c>
      <c r="O75" s="32">
        <v>1900</v>
      </c>
      <c r="P75" s="32">
        <v>5200</v>
      </c>
      <c r="Q75" s="32">
        <v>5100</v>
      </c>
      <c r="R75" s="32">
        <v>2100</v>
      </c>
      <c r="S75" s="32">
        <v>5000</v>
      </c>
      <c r="T75" s="26"/>
    </row>
    <row r="76" spans="1:20" x14ac:dyDescent="0.25">
      <c r="C76" s="2" t="s">
        <v>0</v>
      </c>
      <c r="D76" s="2" t="s">
        <v>197</v>
      </c>
    </row>
    <row r="77" spans="1:20" x14ac:dyDescent="0.25">
      <c r="C77" t="s">
        <v>88</v>
      </c>
      <c r="D77">
        <v>6</v>
      </c>
    </row>
    <row r="78" spans="1:20" x14ac:dyDescent="0.25">
      <c r="C78" t="s">
        <v>89</v>
      </c>
      <c r="D78">
        <v>3</v>
      </c>
    </row>
    <row r="79" spans="1:20" x14ac:dyDescent="0.25">
      <c r="C79" t="s">
        <v>90</v>
      </c>
      <c r="D79">
        <v>0.2</v>
      </c>
    </row>
    <row r="80" spans="1:20" x14ac:dyDescent="0.25">
      <c r="C80" t="s">
        <v>127</v>
      </c>
      <c r="D80">
        <v>2</v>
      </c>
    </row>
    <row r="81" spans="1:17" x14ac:dyDescent="0.25">
      <c r="C81" t="s">
        <v>91</v>
      </c>
      <c r="D81">
        <v>3</v>
      </c>
    </row>
    <row r="82" spans="1:17" x14ac:dyDescent="0.25">
      <c r="C82" t="s">
        <v>92</v>
      </c>
      <c r="D82">
        <v>2</v>
      </c>
    </row>
    <row r="83" spans="1:17" x14ac:dyDescent="0.25">
      <c r="C83" t="s">
        <v>128</v>
      </c>
      <c r="D83">
        <v>3</v>
      </c>
    </row>
    <row r="86" spans="1:17" x14ac:dyDescent="0.25">
      <c r="A86" s="2" t="s">
        <v>112</v>
      </c>
      <c r="B86" t="s">
        <v>113</v>
      </c>
      <c r="H86" t="s">
        <v>218</v>
      </c>
      <c r="J86" t="s">
        <v>217</v>
      </c>
      <c r="N86" t="s">
        <v>114</v>
      </c>
    </row>
    <row r="87" spans="1:17" ht="18.75" x14ac:dyDescent="0.25">
      <c r="A87" s="51" t="s">
        <v>193</v>
      </c>
      <c r="C87" s="3" t="s">
        <v>195</v>
      </c>
      <c r="G87" s="4" t="s">
        <v>36</v>
      </c>
      <c r="H87" s="57">
        <f>H89*H90*H92*H93*10^-9</f>
        <v>1.3555184903555156E-4</v>
      </c>
      <c r="I87" t="s">
        <v>70</v>
      </c>
      <c r="J87" s="57">
        <f>J89*J90*J92*J93*10^-9</f>
        <v>7.4518032192318913E-5</v>
      </c>
      <c r="M87" s="7">
        <f t="shared" ref="M87" si="1">SUMPRODUCT(M89:M94,$Q89:$Q94)/70</f>
        <v>1.6342857142857143</v>
      </c>
      <c r="N87" s="7">
        <f>SUMPRODUCT(N89:N94,$Q89:$Q94)/70</f>
        <v>2.8685714285714288</v>
      </c>
      <c r="O87" s="7">
        <f t="shared" ref="O87" si="2">SUMPRODUCT(O89:O94,$Q89:$Q94)/70</f>
        <v>5.4571428571428573</v>
      </c>
    </row>
    <row r="88" spans="1:17" x14ac:dyDescent="0.25">
      <c r="L88" t="s">
        <v>96</v>
      </c>
      <c r="M88" t="s">
        <v>86</v>
      </c>
      <c r="N88" t="s">
        <v>227</v>
      </c>
      <c r="O88" t="s">
        <v>103</v>
      </c>
      <c r="P88" s="6"/>
      <c r="Q88" s="1" t="s">
        <v>191</v>
      </c>
    </row>
    <row r="89" spans="1:17" x14ac:dyDescent="0.25">
      <c r="B89" t="s">
        <v>45</v>
      </c>
      <c r="C89" t="s">
        <v>116</v>
      </c>
      <c r="G89" s="4" t="s">
        <v>36</v>
      </c>
      <c r="H89" s="7">
        <f>E14</f>
        <v>24839.344064106303</v>
      </c>
      <c r="I89" t="str">
        <f>F14</f>
        <v>ug/kg</v>
      </c>
      <c r="J89">
        <f>H89</f>
        <v>24839.344064106303</v>
      </c>
      <c r="L89" t="s">
        <v>80</v>
      </c>
      <c r="M89">
        <v>0.7</v>
      </c>
      <c r="N89">
        <v>0.7</v>
      </c>
      <c r="O89">
        <v>3</v>
      </c>
      <c r="P89" s="6"/>
      <c r="Q89" s="5">
        <v>0</v>
      </c>
    </row>
    <row r="90" spans="1:17" x14ac:dyDescent="0.25">
      <c r="B90" t="s">
        <v>93</v>
      </c>
      <c r="C90" t="s">
        <v>94</v>
      </c>
      <c r="G90" s="4" t="s">
        <v>36</v>
      </c>
      <c r="H90" s="8">
        <v>1</v>
      </c>
      <c r="J90">
        <f>H90</f>
        <v>1</v>
      </c>
      <c r="L90" s="3" t="s">
        <v>98</v>
      </c>
      <c r="M90">
        <v>20</v>
      </c>
      <c r="N90">
        <v>15</v>
      </c>
      <c r="O90">
        <v>40</v>
      </c>
      <c r="P90" s="6"/>
      <c r="Q90" s="5">
        <v>2</v>
      </c>
    </row>
    <row r="91" spans="1:17" x14ac:dyDescent="0.25">
      <c r="B91" s="70"/>
      <c r="C91" s="70" t="s">
        <v>228</v>
      </c>
      <c r="D91" s="70" t="s">
        <v>229</v>
      </c>
      <c r="E91" s="70"/>
      <c r="F91" s="123">
        <v>3</v>
      </c>
      <c r="G91" s="70"/>
      <c r="H91" s="71" t="str" cm="1">
        <f t="array" ref="H91">INDEX(M88:O88,F91)</f>
        <v>95th</v>
      </c>
      <c r="I91" s="62"/>
      <c r="L91" s="3" t="s">
        <v>102</v>
      </c>
      <c r="M91">
        <v>5</v>
      </c>
      <c r="O91">
        <v>20</v>
      </c>
      <c r="P91" s="6"/>
      <c r="Q91" s="5">
        <v>0</v>
      </c>
    </row>
    <row r="92" spans="1:17" x14ac:dyDescent="0.25">
      <c r="B92" s="70" t="s">
        <v>194</v>
      </c>
      <c r="C92" s="70" t="s">
        <v>95</v>
      </c>
      <c r="D92" s="70"/>
      <c r="E92" s="70"/>
      <c r="F92" s="70"/>
      <c r="G92" s="72" t="s">
        <v>36</v>
      </c>
      <c r="H92" s="141" cm="1">
        <f t="array" ref="H92">INDEX(M87:O87,F91)</f>
        <v>5.4571428571428573</v>
      </c>
      <c r="J92">
        <v>3</v>
      </c>
      <c r="L92" s="3" t="s">
        <v>101</v>
      </c>
      <c r="M92">
        <v>3</v>
      </c>
      <c r="N92">
        <v>6.8</v>
      </c>
      <c r="O92">
        <v>10</v>
      </c>
      <c r="P92" s="6"/>
      <c r="Q92" s="5">
        <v>14</v>
      </c>
    </row>
    <row r="93" spans="1:17" x14ac:dyDescent="0.25">
      <c r="B93" t="s">
        <v>97</v>
      </c>
      <c r="C93" t="s">
        <v>196</v>
      </c>
      <c r="G93" s="4" t="s">
        <v>36</v>
      </c>
      <c r="H93" s="8">
        <v>1</v>
      </c>
      <c r="J93">
        <f>H93</f>
        <v>1</v>
      </c>
      <c r="L93" s="3" t="s">
        <v>99</v>
      </c>
      <c r="M93">
        <v>0.7</v>
      </c>
      <c r="O93">
        <v>3</v>
      </c>
      <c r="P93" s="6"/>
      <c r="Q93" s="5"/>
    </row>
    <row r="94" spans="1:17" x14ac:dyDescent="0.25">
      <c r="L94" s="3" t="s">
        <v>100</v>
      </c>
      <c r="M94">
        <v>0.6</v>
      </c>
      <c r="N94">
        <v>1.4</v>
      </c>
      <c r="O94">
        <v>3</v>
      </c>
      <c r="P94" s="6"/>
      <c r="Q94" s="5">
        <v>54</v>
      </c>
    </row>
    <row r="95" spans="1:17" ht="15.75" thickBot="1" x14ac:dyDescent="0.3"/>
    <row r="96" spans="1:17" ht="15.75" thickBot="1" x14ac:dyDescent="0.3">
      <c r="A96" s="2" t="s">
        <v>168</v>
      </c>
      <c r="B96" t="s">
        <v>115</v>
      </c>
      <c r="I96" s="73" t="s">
        <v>209</v>
      </c>
      <c r="J96" s="74" t="s">
        <v>210</v>
      </c>
      <c r="K96" s="74" t="s">
        <v>211</v>
      </c>
      <c r="L96" s="74" t="s">
        <v>133</v>
      </c>
      <c r="M96" s="75" t="s">
        <v>208</v>
      </c>
    </row>
    <row r="97" spans="1:29" ht="17.25" x14ac:dyDescent="0.25">
      <c r="A97" s="2"/>
      <c r="C97" s="3" t="s">
        <v>213</v>
      </c>
      <c r="F97" t="s">
        <v>70</v>
      </c>
      <c r="H97" s="4" t="s">
        <v>36</v>
      </c>
      <c r="I97" s="76">
        <f>I99*I100*$I$102*$I$103*$I$104</f>
        <v>8.3434836267933612</v>
      </c>
      <c r="J97" s="77">
        <f>J99*J100*$I$102*$J$103*$I$104</f>
        <v>20.64375571471863</v>
      </c>
      <c r="K97" s="77">
        <f>K99*K100*$I$102*$K$103*$I$104</f>
        <v>40.166306038684901</v>
      </c>
      <c r="L97" s="77">
        <f>L99*L100*$I$102*$L$103*$I$104</f>
        <v>90.065805620178523</v>
      </c>
      <c r="M97" s="78">
        <f>SUM(I97:L97)*(10^-6)</f>
        <v>1.5921935100037541E-4</v>
      </c>
      <c r="O97" t="s">
        <v>212</v>
      </c>
      <c r="Q97" s="21"/>
      <c r="R97" s="15" t="s">
        <v>106</v>
      </c>
      <c r="S97" s="15"/>
      <c r="T97" s="13"/>
      <c r="U97" s="16"/>
      <c r="V97" s="13"/>
      <c r="W97" s="16"/>
      <c r="X97" s="13"/>
      <c r="Y97" s="16"/>
      <c r="Z97" s="13"/>
      <c r="AA97" s="16"/>
      <c r="AB97" s="13"/>
      <c r="AC97" s="16"/>
    </row>
    <row r="98" spans="1:29" x14ac:dyDescent="0.25">
      <c r="A98" s="2"/>
      <c r="I98" s="79"/>
      <c r="J98" s="80"/>
      <c r="K98" s="80"/>
      <c r="L98" s="80"/>
      <c r="M98" s="81"/>
      <c r="Q98" s="38"/>
      <c r="R98" s="30" t="s">
        <v>80</v>
      </c>
      <c r="S98" s="30"/>
      <c r="T98" s="171" t="s">
        <v>98</v>
      </c>
      <c r="U98" s="36"/>
      <c r="V98" s="171" t="s">
        <v>102</v>
      </c>
      <c r="W98" s="36"/>
      <c r="X98" s="171" t="s">
        <v>101</v>
      </c>
      <c r="Y98" s="36"/>
      <c r="Z98" s="171" t="s">
        <v>99</v>
      </c>
      <c r="AA98" s="36"/>
      <c r="AB98" s="171" t="s">
        <v>136</v>
      </c>
      <c r="AC98" s="36"/>
    </row>
    <row r="99" spans="1:29" ht="15.75" thickBot="1" x14ac:dyDescent="0.3">
      <c r="B99" t="s">
        <v>54</v>
      </c>
      <c r="C99" t="s">
        <v>104</v>
      </c>
      <c r="H99" s="4" t="s">
        <v>36</v>
      </c>
      <c r="I99" s="82">
        <f>H52</f>
        <v>13.247650167523359</v>
      </c>
      <c r="J99" s="83">
        <f>I52</f>
        <v>42.191617519132961</v>
      </c>
      <c r="K99" s="83">
        <f>J52</f>
        <v>46.077526027747439</v>
      </c>
      <c r="L99" s="83">
        <f>K52</f>
        <v>115.9169389658294</v>
      </c>
      <c r="M99" s="81"/>
      <c r="O99" s="1" t="s">
        <v>86</v>
      </c>
      <c r="P99" s="1" t="s">
        <v>135</v>
      </c>
      <c r="Q99" s="22"/>
      <c r="R99" s="33" t="s">
        <v>86</v>
      </c>
      <c r="S99" s="33" t="s">
        <v>135</v>
      </c>
      <c r="T99" s="42" t="s">
        <v>86</v>
      </c>
      <c r="U99" s="37" t="s">
        <v>135</v>
      </c>
      <c r="V99" s="42" t="s">
        <v>86</v>
      </c>
      <c r="W99" s="37" t="s">
        <v>135</v>
      </c>
      <c r="X99" s="42" t="s">
        <v>86</v>
      </c>
      <c r="Y99" s="37" t="s">
        <v>135</v>
      </c>
      <c r="Z99" s="42" t="s">
        <v>86</v>
      </c>
      <c r="AA99" s="37" t="s">
        <v>135</v>
      </c>
      <c r="AB99" s="42" t="s">
        <v>86</v>
      </c>
      <c r="AC99" s="37" t="s">
        <v>135</v>
      </c>
    </row>
    <row r="100" spans="1:29" x14ac:dyDescent="0.25">
      <c r="B100" t="s">
        <v>106</v>
      </c>
      <c r="C100" t="s">
        <v>105</v>
      </c>
      <c r="H100" s="4" t="s">
        <v>36</v>
      </c>
      <c r="I100" s="82">
        <f>IF($F$101=2,$P103,$O103)</f>
        <v>4.597142857142857</v>
      </c>
      <c r="J100" s="83">
        <f>IF($F$101=2,$P101,$O101)</f>
        <v>3.5714285714285716</v>
      </c>
      <c r="K100" s="83">
        <f>IF($F$101=2,$P100,$O100)</f>
        <v>6.3628571428571421</v>
      </c>
      <c r="L100" s="83">
        <f>IF($F$101=2,$P102,$O102)</f>
        <v>5.6714285714285717</v>
      </c>
      <c r="M100" s="81"/>
      <c r="N100" t="str">
        <f>Q100</f>
        <v>Exposed</v>
      </c>
      <c r="O100" s="1">
        <f>(0*R100+2*T100+14*X100+(70-16)*AB100)/70</f>
        <v>2.1028571428571428</v>
      </c>
      <c r="P100" s="1">
        <f>(0*S100+2*U100+14*Y100+(70-16)*AC100)/70</f>
        <v>6.3628571428571421</v>
      </c>
      <c r="Q100" s="21" t="s">
        <v>131</v>
      </c>
      <c r="R100" s="18">
        <v>1.9</v>
      </c>
      <c r="S100" s="18">
        <v>5.9</v>
      </c>
      <c r="T100" s="17">
        <v>11.7</v>
      </c>
      <c r="U100" s="24">
        <v>30.2</v>
      </c>
      <c r="V100" s="17">
        <v>7.4</v>
      </c>
      <c r="W100" s="24">
        <v>21.7</v>
      </c>
      <c r="X100" s="172">
        <v>1.9</v>
      </c>
      <c r="Y100" s="11">
        <v>5.9</v>
      </c>
      <c r="Z100" s="172">
        <v>1.9</v>
      </c>
      <c r="AA100" s="11">
        <v>5.9</v>
      </c>
      <c r="AB100" s="172">
        <v>1.8</v>
      </c>
      <c r="AC100" s="11">
        <v>5.6</v>
      </c>
    </row>
    <row r="101" spans="1:29" x14ac:dyDescent="0.25">
      <c r="A101" s="2"/>
      <c r="C101" t="s">
        <v>214</v>
      </c>
      <c r="E101" s="5" t="s">
        <v>135</v>
      </c>
      <c r="F101" s="69">
        <f>IF(E101="High",2,1)</f>
        <v>2</v>
      </c>
      <c r="I101" s="79"/>
      <c r="J101" s="80"/>
      <c r="K101" s="80"/>
      <c r="L101" s="80"/>
      <c r="M101" s="81"/>
      <c r="N101" t="str">
        <f>Q101</f>
        <v>Leafy</v>
      </c>
      <c r="O101" s="1">
        <f>(0*R101+2*T101+14*X101+(70-16)*AB101)/70</f>
        <v>1.1371428571428572</v>
      </c>
      <c r="P101" s="1">
        <f t="shared" ref="P101:P103" si="3">(0*S101+2*U101+14*Y101+(70-16)*AC101)/70</f>
        <v>3.5714285714285716</v>
      </c>
      <c r="Q101" s="38" t="s">
        <v>132</v>
      </c>
      <c r="R101" s="18">
        <v>0.9</v>
      </c>
      <c r="S101" s="18">
        <v>3.2</v>
      </c>
      <c r="T101" s="17">
        <v>3.8</v>
      </c>
      <c r="U101" s="24">
        <v>10.8</v>
      </c>
      <c r="V101" s="17">
        <v>2.5</v>
      </c>
      <c r="W101" s="24">
        <v>7.9</v>
      </c>
      <c r="X101" s="172">
        <v>0.9</v>
      </c>
      <c r="Y101" s="11">
        <v>3.2</v>
      </c>
      <c r="Z101" s="172">
        <v>0.9</v>
      </c>
      <c r="AA101" s="11">
        <v>3.2</v>
      </c>
      <c r="AB101" s="172">
        <v>1.1000000000000001</v>
      </c>
      <c r="AC101" s="11">
        <v>3.4</v>
      </c>
    </row>
    <row r="102" spans="1:29" x14ac:dyDescent="0.25">
      <c r="B102" t="s">
        <v>93</v>
      </c>
      <c r="C102" t="s">
        <v>109</v>
      </c>
      <c r="H102" s="4" t="s">
        <v>36</v>
      </c>
      <c r="I102" s="79">
        <f>H90</f>
        <v>1</v>
      </c>
      <c r="J102" s="80"/>
      <c r="K102" s="80"/>
      <c r="L102" s="80"/>
      <c r="M102" s="81"/>
      <c r="N102" t="str">
        <f t="shared" ref="N102:N103" si="4">Q102</f>
        <v>Protected</v>
      </c>
      <c r="O102" s="1">
        <f t="shared" ref="O102:O103" si="5">(0*R102+2*T102+14*X102+(70-16)*AB102)/70</f>
        <v>1.7428571428571429</v>
      </c>
      <c r="P102" s="1">
        <f t="shared" si="3"/>
        <v>5.6714285714285717</v>
      </c>
      <c r="Q102" s="38" t="s">
        <v>133</v>
      </c>
      <c r="R102" s="18">
        <v>1.7</v>
      </c>
      <c r="S102" s="18">
        <v>5.8</v>
      </c>
      <c r="T102" s="17">
        <v>5.9</v>
      </c>
      <c r="U102" s="24">
        <v>17.5</v>
      </c>
      <c r="V102" s="17">
        <v>4.7</v>
      </c>
      <c r="W102" s="24">
        <v>13.3</v>
      </c>
      <c r="X102" s="172">
        <v>1.7</v>
      </c>
      <c r="Y102" s="11">
        <v>5.8</v>
      </c>
      <c r="Z102" s="172">
        <v>1.7</v>
      </c>
      <c r="AA102" s="11">
        <v>5.8</v>
      </c>
      <c r="AB102" s="172">
        <v>1.6</v>
      </c>
      <c r="AC102" s="11">
        <v>5.2</v>
      </c>
    </row>
    <row r="103" spans="1:29" ht="15.75" thickBot="1" x14ac:dyDescent="0.3">
      <c r="B103" t="s">
        <v>108</v>
      </c>
      <c r="C103" t="s">
        <v>107</v>
      </c>
      <c r="H103" s="4" t="s">
        <v>36</v>
      </c>
      <c r="I103" s="79">
        <v>0.13700000000000001</v>
      </c>
      <c r="J103" s="80">
        <f>I103</f>
        <v>0.13700000000000001</v>
      </c>
      <c r="K103" s="80">
        <f t="shared" ref="K103:L103" si="6">J103</f>
        <v>0.13700000000000001</v>
      </c>
      <c r="L103" s="80">
        <f t="shared" si="6"/>
        <v>0.13700000000000001</v>
      </c>
      <c r="M103" s="81"/>
      <c r="N103" t="str">
        <f t="shared" si="4"/>
        <v>Root</v>
      </c>
      <c r="O103" s="1">
        <f t="shared" si="5"/>
        <v>1.6600000000000001</v>
      </c>
      <c r="P103" s="1">
        <f t="shared" si="3"/>
        <v>4.597142857142857</v>
      </c>
      <c r="Q103" s="22" t="s">
        <v>134</v>
      </c>
      <c r="R103" s="20">
        <v>1.7</v>
      </c>
      <c r="S103" s="20">
        <v>4.5999999999999996</v>
      </c>
      <c r="T103" s="19">
        <v>5.7</v>
      </c>
      <c r="U103" s="26">
        <v>15.3</v>
      </c>
      <c r="V103" s="19">
        <v>3.9</v>
      </c>
      <c r="W103" s="26">
        <v>10.8</v>
      </c>
      <c r="X103" s="173">
        <v>1.7</v>
      </c>
      <c r="Y103" s="12">
        <v>4.5999999999999996</v>
      </c>
      <c r="Z103" s="173">
        <v>1.7</v>
      </c>
      <c r="AA103" s="12">
        <v>4.5999999999999996</v>
      </c>
      <c r="AB103" s="173">
        <v>1.5</v>
      </c>
      <c r="AC103" s="12">
        <v>4.2</v>
      </c>
    </row>
    <row r="104" spans="1:29" ht="15.75" thickBot="1" x14ac:dyDescent="0.3">
      <c r="H104" s="4" t="s">
        <v>36</v>
      </c>
      <c r="I104" s="84">
        <v>1</v>
      </c>
      <c r="J104" s="85"/>
      <c r="K104" s="85"/>
      <c r="L104" s="85"/>
      <c r="M104" s="86"/>
    </row>
    <row r="107" spans="1:29" ht="18.75" x14ac:dyDescent="0.3">
      <c r="A107" s="59" t="s">
        <v>200</v>
      </c>
      <c r="B107" s="60"/>
      <c r="C107" s="60"/>
      <c r="D107" s="60"/>
      <c r="E107" s="60"/>
      <c r="F107" s="60"/>
      <c r="G107" s="60"/>
      <c r="L107" s="6"/>
    </row>
    <row r="108" spans="1:29" x14ac:dyDescent="0.25">
      <c r="D108" t="s">
        <v>201</v>
      </c>
      <c r="F108" t="s">
        <v>276</v>
      </c>
      <c r="G108" s="169" t="s">
        <v>201</v>
      </c>
    </row>
    <row r="109" spans="1:29" x14ac:dyDescent="0.25">
      <c r="B109" s="63"/>
      <c r="C109" s="63"/>
      <c r="D109" s="63" t="s">
        <v>218</v>
      </c>
      <c r="E109" s="63" t="s">
        <v>217</v>
      </c>
      <c r="G109" s="193" t="s">
        <v>233</v>
      </c>
      <c r="H109" s="63" t="s">
        <v>199</v>
      </c>
    </row>
    <row r="110" spans="1:29" x14ac:dyDescent="0.25">
      <c r="B110" t="str">
        <f>A66</f>
        <v xml:space="preserve">Dose_Dermal </v>
      </c>
      <c r="D110" s="52">
        <f>H67</f>
        <v>9.8302971447173339E-6</v>
      </c>
      <c r="E110" s="52">
        <f>J67</f>
        <v>2.1290866340662547E-5</v>
      </c>
      <c r="F110" s="156">
        <f>D110/$C$57</f>
        <v>2.8086563270620957</v>
      </c>
      <c r="G110" s="194">
        <f>L114</f>
        <v>9.8302999999999997E-6</v>
      </c>
      <c r="H110" s="56">
        <f>D110/G110</f>
        <v>0.99999970954267259</v>
      </c>
    </row>
    <row r="111" spans="1:29" x14ac:dyDescent="0.25">
      <c r="B111" t="str">
        <f>A86</f>
        <v>DOSE_Soil_I</v>
      </c>
      <c r="D111" s="52">
        <f>H87</f>
        <v>1.3555184903555156E-4</v>
      </c>
      <c r="E111" s="52">
        <f>J87</f>
        <v>7.4518032192318913E-5</v>
      </c>
      <c r="F111" s="156">
        <f t="shared" ref="F111:F112" si="7">D111/$C$57</f>
        <v>38.729099724443302</v>
      </c>
      <c r="G111" s="194">
        <f>K114</f>
        <v>1.3554999999999999E-4</v>
      </c>
      <c r="H111" s="56">
        <f>D111/G111</f>
        <v>1.0000136409852569</v>
      </c>
    </row>
    <row r="112" spans="1:29" x14ac:dyDescent="0.25">
      <c r="B112" s="63" t="str">
        <f>A96</f>
        <v>DOSE_Prod</v>
      </c>
      <c r="C112" s="63"/>
      <c r="D112" s="64">
        <f>M97</f>
        <v>1.5921935100037541E-4</v>
      </c>
      <c r="E112" s="63">
        <v>0</v>
      </c>
      <c r="F112" s="156">
        <f t="shared" si="7"/>
        <v>45.4912431429644</v>
      </c>
      <c r="G112" s="195">
        <f>P114</f>
        <v>1.5922000000000001E-4</v>
      </c>
      <c r="H112" s="65">
        <f>D112/G112</f>
        <v>0.99999592388126746</v>
      </c>
      <c r="J112" t="s">
        <v>190</v>
      </c>
    </row>
    <row r="113" spans="2:49" x14ac:dyDescent="0.25">
      <c r="B113" t="s">
        <v>202</v>
      </c>
      <c r="D113" s="52">
        <f>SUM(D110:D112)</f>
        <v>3.046014971806443E-4</v>
      </c>
      <c r="E113" s="52">
        <f>SUM(E110:E112)</f>
        <v>9.580889853298146E-5</v>
      </c>
      <c r="G113" s="194">
        <f>SUM(G110:G112)</f>
        <v>3.0460030000000003E-4</v>
      </c>
      <c r="J113" t="s">
        <v>169</v>
      </c>
      <c r="K113" t="s">
        <v>170</v>
      </c>
      <c r="L113" t="s">
        <v>171</v>
      </c>
      <c r="M113" t="s">
        <v>172</v>
      </c>
      <c r="N113" t="s">
        <v>173</v>
      </c>
      <c r="O113" t="s">
        <v>174</v>
      </c>
      <c r="P113" t="s">
        <v>175</v>
      </c>
      <c r="Q113" t="s">
        <v>176</v>
      </c>
      <c r="R113" t="s">
        <v>177</v>
      </c>
      <c r="S113" t="s">
        <v>178</v>
      </c>
      <c r="T113" t="s">
        <v>179</v>
      </c>
      <c r="U113" t="s">
        <v>180</v>
      </c>
      <c r="V113" t="s">
        <v>181</v>
      </c>
      <c r="W113" t="s">
        <v>182</v>
      </c>
      <c r="X113" t="s">
        <v>183</v>
      </c>
      <c r="Y113" t="s">
        <v>184</v>
      </c>
      <c r="Z113" t="s">
        <v>185</v>
      </c>
      <c r="AA113" t="s">
        <v>186</v>
      </c>
    </row>
    <row r="114" spans="2:49" x14ac:dyDescent="0.25">
      <c r="G114" s="169"/>
      <c r="J114" s="52">
        <v>1.4999999999999999E-2</v>
      </c>
      <c r="K114" s="52">
        <v>1.3554999999999999E-4</v>
      </c>
      <c r="L114" s="52">
        <v>9.8302999999999997E-6</v>
      </c>
      <c r="M114" s="52">
        <v>0</v>
      </c>
      <c r="N114" s="52">
        <v>0</v>
      </c>
      <c r="O114" s="52">
        <v>0</v>
      </c>
      <c r="P114" s="52">
        <v>1.5922000000000001E-4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t="s">
        <v>187</v>
      </c>
      <c r="W114" t="s">
        <v>188</v>
      </c>
      <c r="X114" t="s">
        <v>189</v>
      </c>
      <c r="Y114" s="52">
        <v>0</v>
      </c>
      <c r="Z114" s="52">
        <v>0</v>
      </c>
      <c r="AA114" s="52">
        <v>0</v>
      </c>
    </row>
    <row r="115" spans="2:49" x14ac:dyDescent="0.25">
      <c r="B115" t="s">
        <v>215</v>
      </c>
      <c r="D115" s="156">
        <f>D113/$C$57+$G63</f>
        <v>88.028999194469804</v>
      </c>
      <c r="E115" s="110">
        <f>E113/$C$57+$G63</f>
        <v>28.373971009423276</v>
      </c>
      <c r="F115" s="174"/>
      <c r="G115" s="196">
        <f>G113/$C57+G63</f>
        <v>88.028657142857156</v>
      </c>
      <c r="H115" t="s">
        <v>198</v>
      </c>
    </row>
    <row r="116" spans="2:49" x14ac:dyDescent="0.25">
      <c r="D116" s="52"/>
    </row>
    <row r="117" spans="2:49" x14ac:dyDescent="0.25"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U117" s="52"/>
      <c r="AV117" s="52"/>
      <c r="AW117" s="5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B260-D30D-4B3A-9F9E-93CCF2B7460C}">
  <sheetPr codeName="Sheet3"/>
  <dimension ref="A1:AW119"/>
  <sheetViews>
    <sheetView tabSelected="1" zoomScaleNormal="100" workbookViewId="0">
      <selection activeCell="F115" sqref="F115"/>
    </sheetView>
  </sheetViews>
  <sheetFormatPr defaultColWidth="8.85546875" defaultRowHeight="15" x14ac:dyDescent="0.25"/>
  <cols>
    <col min="1" max="1" width="12.85546875" customWidth="1"/>
    <col min="2" max="2" width="12.140625" customWidth="1"/>
    <col min="3" max="3" width="9.85546875" customWidth="1"/>
    <col min="4" max="4" width="12.140625" bestFit="1" customWidth="1"/>
    <col min="5" max="5" width="10.42578125" bestFit="1" customWidth="1"/>
    <col min="6" max="6" width="13" customWidth="1"/>
    <col min="7" max="7" width="14.140625" customWidth="1"/>
    <col min="8" max="8" width="16.7109375" customWidth="1"/>
    <col min="9" max="9" width="22.28515625" customWidth="1"/>
    <col min="10" max="11" width="16.7109375" customWidth="1"/>
    <col min="12" max="12" width="13.7109375" bestFit="1" customWidth="1"/>
    <col min="13" max="13" width="10.42578125" customWidth="1"/>
    <col min="15" max="15" width="12" bestFit="1" customWidth="1"/>
    <col min="17" max="17" width="9.85546875" customWidth="1"/>
    <col min="18" max="18" width="13" customWidth="1"/>
    <col min="20" max="20" width="13.140625" customWidth="1"/>
    <col min="22" max="22" width="9.5703125" customWidth="1"/>
    <col min="23" max="23" width="12.7109375" customWidth="1"/>
    <col min="24" max="24" width="14.85546875" customWidth="1"/>
    <col min="25" max="25" width="12.85546875" customWidth="1"/>
    <col min="26" max="26" width="18.85546875" customWidth="1"/>
    <col min="27" max="27" width="22.7109375" customWidth="1"/>
    <col min="28" max="28" width="15" customWidth="1"/>
    <col min="29" max="29" width="18.140625" customWidth="1"/>
  </cols>
  <sheetData>
    <row r="1" spans="1:19" x14ac:dyDescent="0.25">
      <c r="A1" s="2" t="s">
        <v>130</v>
      </c>
      <c r="E1" s="3"/>
    </row>
    <row r="2" spans="1:19" ht="18.75" x14ac:dyDescent="0.25">
      <c r="A2" s="51" t="s">
        <v>140</v>
      </c>
      <c r="I2" s="204" t="s">
        <v>283</v>
      </c>
      <c r="J2" s="199"/>
      <c r="K2" s="199"/>
      <c r="L2" s="199"/>
      <c r="M2" s="198"/>
    </row>
    <row r="3" spans="1:19" x14ac:dyDescent="0.25">
      <c r="H3" s="130"/>
      <c r="I3" s="213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x14ac:dyDescent="0.25">
      <c r="H4" s="18"/>
      <c r="I4" s="18"/>
    </row>
    <row r="5" spans="1:19" x14ac:dyDescent="0.25">
      <c r="A5" s="2" t="s">
        <v>129</v>
      </c>
      <c r="B5" s="5">
        <v>1</v>
      </c>
      <c r="C5" s="7" t="s">
        <v>88</v>
      </c>
      <c r="H5" s="18"/>
      <c r="I5" s="18"/>
      <c r="K5" s="113" t="s">
        <v>234</v>
      </c>
      <c r="L5" s="6"/>
      <c r="M5" s="6"/>
    </row>
    <row r="6" spans="1:19" x14ac:dyDescent="0.25">
      <c r="A6" s="2"/>
      <c r="H6" s="18"/>
      <c r="I6" s="18"/>
      <c r="K6" s="113" t="s">
        <v>235</v>
      </c>
      <c r="L6" s="6"/>
      <c r="M6" s="6"/>
    </row>
    <row r="7" spans="1:19" x14ac:dyDescent="0.25">
      <c r="A7" s="2" t="s">
        <v>139</v>
      </c>
      <c r="H7" s="18"/>
      <c r="I7" s="18"/>
      <c r="K7" s="127"/>
      <c r="L7" s="6"/>
      <c r="M7" s="6"/>
    </row>
    <row r="8" spans="1:19" x14ac:dyDescent="0.25">
      <c r="A8" s="2" t="s">
        <v>46</v>
      </c>
      <c r="B8" s="106">
        <v>1.4999999999999999E-2</v>
      </c>
      <c r="C8" s="54" t="s">
        <v>47</v>
      </c>
      <c r="D8" s="54"/>
      <c r="H8" s="18"/>
      <c r="I8" s="18"/>
    </row>
    <row r="9" spans="1:19" x14ac:dyDescent="0.25">
      <c r="H9" s="18"/>
      <c r="I9" s="18"/>
    </row>
    <row r="10" spans="1:19" ht="18.75" x14ac:dyDescent="0.3">
      <c r="A10" s="59" t="s">
        <v>162</v>
      </c>
      <c r="B10" s="67"/>
      <c r="C10" s="67"/>
      <c r="D10" s="67"/>
      <c r="E10" s="67"/>
      <c r="F10" s="67"/>
      <c r="H10" s="18"/>
      <c r="I10" s="18"/>
      <c r="K10" s="6"/>
      <c r="L10" s="6"/>
      <c r="M10" s="6"/>
      <c r="N10" s="6"/>
    </row>
    <row r="11" spans="1:19" x14ac:dyDescent="0.25">
      <c r="K11" s="6"/>
      <c r="L11" s="6"/>
      <c r="M11" s="6"/>
      <c r="N11" s="6"/>
    </row>
    <row r="12" spans="1:19" x14ac:dyDescent="0.25">
      <c r="A12" s="2" t="s">
        <v>45</v>
      </c>
      <c r="B12" t="s">
        <v>13</v>
      </c>
      <c r="K12" s="6"/>
      <c r="L12" s="6"/>
      <c r="M12" s="6"/>
      <c r="N12" s="6"/>
    </row>
    <row r="13" spans="1:19" x14ac:dyDescent="0.25">
      <c r="A13" t="s">
        <v>153</v>
      </c>
      <c r="C13" t="s">
        <v>20</v>
      </c>
    </row>
    <row r="14" spans="1:19" x14ac:dyDescent="0.25">
      <c r="D14" s="4" t="s">
        <v>36</v>
      </c>
      <c r="E14" s="7">
        <f>G16*K25/(K26*G20*G22*K23)</f>
        <v>4471.0819315391345</v>
      </c>
      <c r="F14" t="s">
        <v>49</v>
      </c>
      <c r="G14" t="s">
        <v>52</v>
      </c>
    </row>
    <row r="15" spans="1:19" x14ac:dyDescent="0.25">
      <c r="D15" s="4" t="s">
        <v>36</v>
      </c>
      <c r="E15" s="7">
        <f>G16*K25/(K26*G21*G22*K23)</f>
        <v>298.07212876927559</v>
      </c>
      <c r="F15" t="s">
        <v>49</v>
      </c>
      <c r="G15" t="s">
        <v>53</v>
      </c>
      <c r="N15" s="6"/>
      <c r="O15" s="6"/>
      <c r="P15" s="6"/>
    </row>
    <row r="16" spans="1:19" x14ac:dyDescent="0.25">
      <c r="A16" t="s">
        <v>154</v>
      </c>
      <c r="C16" s="2" t="s">
        <v>14</v>
      </c>
      <c r="D16" t="s">
        <v>15</v>
      </c>
      <c r="F16" s="4" t="s">
        <v>36</v>
      </c>
      <c r="G16" s="7">
        <f>B8*G18*86400</f>
        <v>4.6655999999999995</v>
      </c>
      <c r="H16" t="s">
        <v>48</v>
      </c>
      <c r="N16" s="6"/>
      <c r="O16" s="6"/>
      <c r="P16" s="6"/>
    </row>
    <row r="17" spans="1:17" x14ac:dyDescent="0.25">
      <c r="D17" t="s">
        <v>16</v>
      </c>
      <c r="J17" s="6"/>
      <c r="N17" s="6"/>
      <c r="O17" s="6"/>
      <c r="P17" s="6"/>
    </row>
    <row r="18" spans="1:17" x14ac:dyDescent="0.25">
      <c r="C18" t="s">
        <v>17</v>
      </c>
      <c r="D18" t="s">
        <v>18</v>
      </c>
      <c r="F18" s="4" t="s">
        <v>36</v>
      </c>
      <c r="G18" s="112">
        <v>3.5999999999999999E-3</v>
      </c>
      <c r="H18" t="s">
        <v>50</v>
      </c>
      <c r="I18" s="128" t="s">
        <v>236</v>
      </c>
      <c r="J18" s="112"/>
      <c r="N18" s="6"/>
      <c r="O18" s="6"/>
      <c r="P18" s="6"/>
    </row>
    <row r="19" spans="1:17" x14ac:dyDescent="0.25">
      <c r="F19" s="6"/>
      <c r="H19" s="3"/>
      <c r="J19" s="6"/>
      <c r="N19" s="6"/>
      <c r="O19" s="6"/>
      <c r="P19" s="6"/>
    </row>
    <row r="20" spans="1:17" x14ac:dyDescent="0.25">
      <c r="C20" t="s">
        <v>37</v>
      </c>
      <c r="D20" t="s">
        <v>38</v>
      </c>
      <c r="F20" s="4" t="s">
        <v>36</v>
      </c>
      <c r="G20" s="7">
        <v>0.01</v>
      </c>
      <c r="H20" t="s">
        <v>44</v>
      </c>
      <c r="J20" t="s">
        <v>52</v>
      </c>
      <c r="K20" s="6"/>
    </row>
    <row r="21" spans="1:17" x14ac:dyDescent="0.25">
      <c r="F21" s="4" t="s">
        <v>36</v>
      </c>
      <c r="G21" s="7">
        <v>0.15</v>
      </c>
      <c r="H21" t="s">
        <v>51</v>
      </c>
      <c r="J21" t="s">
        <v>53</v>
      </c>
      <c r="K21" s="6"/>
    </row>
    <row r="22" spans="1:17" x14ac:dyDescent="0.25">
      <c r="C22" t="s">
        <v>39</v>
      </c>
      <c r="D22" t="s">
        <v>40</v>
      </c>
      <c r="F22" s="4" t="s">
        <v>36</v>
      </c>
      <c r="G22" s="7">
        <v>1333</v>
      </c>
      <c r="H22" t="s">
        <v>41</v>
      </c>
    </row>
    <row r="23" spans="1:17" x14ac:dyDescent="0.25">
      <c r="C23" t="s">
        <v>30</v>
      </c>
      <c r="D23" s="3" t="s">
        <v>31</v>
      </c>
      <c r="J23" s="4" t="s">
        <v>36</v>
      </c>
      <c r="K23" s="7">
        <v>25550</v>
      </c>
      <c r="L23" t="s">
        <v>42</v>
      </c>
      <c r="M23">
        <f>K23/365</f>
        <v>70</v>
      </c>
    </row>
    <row r="24" spans="1:17" x14ac:dyDescent="0.25">
      <c r="D24" s="3" t="s">
        <v>32</v>
      </c>
    </row>
    <row r="25" spans="1:17" ht="18.75" x14ac:dyDescent="0.35">
      <c r="A25" t="s">
        <v>155</v>
      </c>
      <c r="C25" t="s">
        <v>21</v>
      </c>
      <c r="D25" t="s">
        <v>22</v>
      </c>
      <c r="I25" t="s">
        <v>23</v>
      </c>
      <c r="J25" s="4" t="s">
        <v>36</v>
      </c>
      <c r="K25" s="7">
        <f>((EXP(-K26*25550)-EXP(0))/K26)+25550</f>
        <v>2.2618271585015464</v>
      </c>
      <c r="L25" t="s">
        <v>61</v>
      </c>
    </row>
    <row r="26" spans="1:17" ht="18.75" x14ac:dyDescent="0.35">
      <c r="A26" t="s">
        <v>156</v>
      </c>
      <c r="C26" t="s">
        <v>24</v>
      </c>
      <c r="D26" s="3" t="s">
        <v>25</v>
      </c>
      <c r="G26" s="3" t="s">
        <v>35</v>
      </c>
      <c r="I26" t="s">
        <v>43</v>
      </c>
      <c r="J26" s="4" t="s">
        <v>36</v>
      </c>
      <c r="K26" s="7">
        <f>0.693/(10^8)</f>
        <v>6.9299999999999999E-9</v>
      </c>
    </row>
    <row r="27" spans="1:17" x14ac:dyDescent="0.25">
      <c r="C27" t="s">
        <v>26</v>
      </c>
      <c r="D27" s="3" t="s">
        <v>27</v>
      </c>
      <c r="I27" s="3" t="s">
        <v>33</v>
      </c>
    </row>
    <row r="28" spans="1:17" x14ac:dyDescent="0.25">
      <c r="C28" t="s">
        <v>28</v>
      </c>
      <c r="D28" s="3" t="s">
        <v>29</v>
      </c>
      <c r="J28" s="3" t="s">
        <v>34</v>
      </c>
    </row>
    <row r="29" spans="1:17" x14ac:dyDescent="0.25">
      <c r="L29" s="105"/>
    </row>
    <row r="30" spans="1:17" x14ac:dyDescent="0.25">
      <c r="L30" s="105"/>
    </row>
    <row r="31" spans="1:17" ht="15.75" thickBot="1" x14ac:dyDescent="0.3"/>
    <row r="32" spans="1:17" ht="15.75" thickBot="1" x14ac:dyDescent="0.3">
      <c r="A32" s="2" t="s">
        <v>54</v>
      </c>
      <c r="B32" t="s">
        <v>55</v>
      </c>
      <c r="N32" s="27" t="s">
        <v>138</v>
      </c>
      <c r="O32" s="28"/>
      <c r="P32" s="29" t="s">
        <v>57</v>
      </c>
      <c r="Q32" s="1" t="s">
        <v>60</v>
      </c>
    </row>
    <row r="33" spans="1:29" x14ac:dyDescent="0.25">
      <c r="A33" t="s">
        <v>157</v>
      </c>
      <c r="C33" t="s">
        <v>56</v>
      </c>
      <c r="G33" s="4"/>
      <c r="H33" s="104"/>
      <c r="N33" s="17" t="s">
        <v>63</v>
      </c>
      <c r="O33" s="23"/>
      <c r="P33" s="11">
        <v>0</v>
      </c>
      <c r="Q33" s="68" t="s">
        <v>204</v>
      </c>
    </row>
    <row r="34" spans="1:29" x14ac:dyDescent="0.25">
      <c r="N34" s="17" t="s">
        <v>64</v>
      </c>
      <c r="O34" s="23"/>
      <c r="P34" s="11">
        <v>0.2</v>
      </c>
      <c r="Q34" s="1">
        <v>45</v>
      </c>
    </row>
    <row r="35" spans="1:29" ht="15.75" thickBot="1" x14ac:dyDescent="0.3">
      <c r="N35" s="17" t="s">
        <v>65</v>
      </c>
      <c r="O35" s="23"/>
      <c r="P35" s="11">
        <v>0</v>
      </c>
      <c r="Q35" s="68" t="s">
        <v>204</v>
      </c>
    </row>
    <row r="36" spans="1:29" x14ac:dyDescent="0.25">
      <c r="A36" s="2" t="s">
        <v>119</v>
      </c>
      <c r="B36" t="s">
        <v>118</v>
      </c>
      <c r="H36" s="87" t="s">
        <v>134</v>
      </c>
      <c r="I36" s="88" t="s">
        <v>132</v>
      </c>
      <c r="J36" s="88" t="s">
        <v>131</v>
      </c>
      <c r="K36" s="89" t="s">
        <v>133</v>
      </c>
      <c r="N36" s="17" t="s">
        <v>66</v>
      </c>
      <c r="O36" s="23"/>
      <c r="P36" s="11">
        <v>0.1</v>
      </c>
      <c r="Q36" s="1">
        <v>90</v>
      </c>
    </row>
    <row r="37" spans="1:29" ht="18" thickBot="1" x14ac:dyDescent="0.3">
      <c r="A37" t="s">
        <v>158</v>
      </c>
      <c r="C37" s="3" t="s">
        <v>159</v>
      </c>
      <c r="F37" s="10" t="s">
        <v>123</v>
      </c>
      <c r="G37" s="4" t="s">
        <v>36</v>
      </c>
      <c r="H37" s="97">
        <v>0</v>
      </c>
      <c r="I37" s="83">
        <f>(I39*I40/(I41*I42))*(1-EXP(-I41*I43))</f>
        <v>4.6137698657511761</v>
      </c>
      <c r="J37" s="83">
        <f>(J39*J40/(J41*J42))*(1-EXP(-J41*J43))</f>
        <v>2.3325121096090262</v>
      </c>
      <c r="K37" s="98">
        <v>0</v>
      </c>
      <c r="N37" s="19" t="s">
        <v>67</v>
      </c>
      <c r="O37" s="25"/>
      <c r="P37" s="12">
        <v>0.7</v>
      </c>
    </row>
    <row r="38" spans="1:29" ht="15.75" thickBot="1" x14ac:dyDescent="0.3">
      <c r="A38" s="2"/>
      <c r="B38" s="4"/>
      <c r="F38" s="3"/>
      <c r="H38" s="79"/>
      <c r="I38" s="80"/>
      <c r="J38" s="80"/>
      <c r="K38" s="81"/>
      <c r="U38" s="39" t="s">
        <v>8</v>
      </c>
      <c r="V38" s="15"/>
      <c r="W38" s="15"/>
      <c r="X38" s="15"/>
      <c r="Y38" s="15"/>
      <c r="Z38" s="15"/>
      <c r="AA38" s="15"/>
      <c r="AB38" s="15"/>
      <c r="AC38" s="16"/>
    </row>
    <row r="39" spans="1:29" x14ac:dyDescent="0.25">
      <c r="A39" s="2"/>
      <c r="B39" t="s">
        <v>14</v>
      </c>
      <c r="C39" t="s">
        <v>122</v>
      </c>
      <c r="E39" s="3"/>
      <c r="G39" s="4" t="s">
        <v>36</v>
      </c>
      <c r="H39" s="79">
        <f>G16</f>
        <v>4.6655999999999995</v>
      </c>
      <c r="I39" s="80">
        <f>G16</f>
        <v>4.6655999999999995</v>
      </c>
      <c r="J39" s="80">
        <f>G16</f>
        <v>4.6655999999999995</v>
      </c>
      <c r="K39" s="81">
        <f>G16</f>
        <v>4.6655999999999995</v>
      </c>
      <c r="N39" s="13" t="s">
        <v>124</v>
      </c>
      <c r="O39" s="15" t="s">
        <v>192</v>
      </c>
      <c r="P39" s="15"/>
      <c r="Q39" s="15"/>
      <c r="R39" s="16"/>
      <c r="U39" s="40" t="s">
        <v>9</v>
      </c>
      <c r="V39" s="41"/>
      <c r="W39" s="23"/>
      <c r="X39" s="23"/>
      <c r="Y39" s="23"/>
      <c r="Z39" s="23"/>
      <c r="AA39" s="23"/>
      <c r="AB39" s="23"/>
      <c r="AC39" s="24"/>
    </row>
    <row r="40" spans="1:29" ht="48" thickBot="1" x14ac:dyDescent="0.3">
      <c r="B40" s="70" t="s">
        <v>57</v>
      </c>
      <c r="C40" s="70" t="s">
        <v>62</v>
      </c>
      <c r="D40" s="70"/>
      <c r="E40" s="70"/>
      <c r="F40" s="70"/>
      <c r="G40" s="72" t="s">
        <v>36</v>
      </c>
      <c r="H40" s="102">
        <f>P33</f>
        <v>0</v>
      </c>
      <c r="I40" s="103">
        <f>P34</f>
        <v>0.2</v>
      </c>
      <c r="J40" s="80">
        <f>P36</f>
        <v>0.1</v>
      </c>
      <c r="K40" s="81">
        <f>P35</f>
        <v>0</v>
      </c>
      <c r="N40" s="19"/>
      <c r="O40" s="49" t="s">
        <v>134</v>
      </c>
      <c r="P40" s="49" t="s">
        <v>132</v>
      </c>
      <c r="Q40" s="49" t="s">
        <v>131</v>
      </c>
      <c r="R40" s="50" t="s">
        <v>133</v>
      </c>
      <c r="U40" s="42" t="s">
        <v>0</v>
      </c>
      <c r="V40" s="43" t="s">
        <v>2</v>
      </c>
      <c r="W40" s="44" t="s">
        <v>3</v>
      </c>
      <c r="X40" s="44" t="s">
        <v>4</v>
      </c>
      <c r="Y40" s="44" t="s">
        <v>5</v>
      </c>
      <c r="Z40" s="44" t="s">
        <v>6</v>
      </c>
      <c r="AA40" s="44" t="s">
        <v>10</v>
      </c>
      <c r="AB40" s="44" t="s">
        <v>11</v>
      </c>
      <c r="AC40" s="45" t="s">
        <v>12</v>
      </c>
    </row>
    <row r="41" spans="1:29" ht="18" thickBot="1" x14ac:dyDescent="0.3">
      <c r="B41" t="s">
        <v>58</v>
      </c>
      <c r="C41" t="s">
        <v>59</v>
      </c>
      <c r="G41" s="4" t="s">
        <v>36</v>
      </c>
      <c r="H41" s="79">
        <v>0</v>
      </c>
      <c r="I41" s="80">
        <v>0.1</v>
      </c>
      <c r="J41" s="80">
        <v>0.1</v>
      </c>
      <c r="K41" s="81">
        <v>0</v>
      </c>
      <c r="N41" s="27" t="s">
        <v>88</v>
      </c>
      <c r="O41" s="133">
        <v>8.0000000000000002E-3</v>
      </c>
      <c r="P41" s="133">
        <v>0.01</v>
      </c>
      <c r="Q41" s="133">
        <v>0.02</v>
      </c>
      <c r="R41" s="134">
        <v>7.0000000000000007E-2</v>
      </c>
      <c r="U41" s="135" t="s">
        <v>7</v>
      </c>
      <c r="V41" s="136" t="s">
        <v>1</v>
      </c>
      <c r="W41" s="137">
        <v>0.2</v>
      </c>
      <c r="X41" s="138">
        <v>1.4999999999999999E-2</v>
      </c>
      <c r="Y41" s="139">
        <v>1.4999999999999999E-2</v>
      </c>
      <c r="Z41" s="138">
        <v>3.4999999999999999E-6</v>
      </c>
      <c r="AA41" s="137">
        <v>3.3E-3</v>
      </c>
      <c r="AB41" s="137">
        <v>12</v>
      </c>
      <c r="AC41" s="140">
        <v>1.5</v>
      </c>
    </row>
    <row r="42" spans="1:29" x14ac:dyDescent="0.25">
      <c r="B42" t="s">
        <v>60</v>
      </c>
      <c r="C42" t="s">
        <v>120</v>
      </c>
      <c r="F42" t="s">
        <v>205</v>
      </c>
      <c r="G42" s="4" t="s">
        <v>36</v>
      </c>
      <c r="H42" s="79">
        <v>2</v>
      </c>
      <c r="I42" s="80">
        <v>2</v>
      </c>
      <c r="J42" s="80">
        <v>2</v>
      </c>
      <c r="K42" s="81">
        <v>2</v>
      </c>
      <c r="N42" s="23"/>
      <c r="O42" s="61"/>
      <c r="P42" s="61"/>
      <c r="Q42" s="61"/>
      <c r="R42" s="61"/>
      <c r="S42" s="23"/>
      <c r="T42" s="23"/>
      <c r="U42" s="23"/>
      <c r="V42" s="18"/>
      <c r="W42" s="23"/>
      <c r="X42" s="23"/>
      <c r="Y42" s="61"/>
      <c r="Z42" s="23"/>
      <c r="AA42" s="48"/>
      <c r="AB42" s="23"/>
      <c r="AC42" s="23"/>
    </row>
    <row r="43" spans="1:29" ht="15.75" thickBot="1" x14ac:dyDescent="0.3">
      <c r="B43" t="s">
        <v>117</v>
      </c>
      <c r="C43" t="s">
        <v>121</v>
      </c>
      <c r="G43" s="4" t="s">
        <v>36</v>
      </c>
      <c r="H43" s="99" t="s">
        <v>204</v>
      </c>
      <c r="I43" s="85">
        <v>45</v>
      </c>
      <c r="J43" s="100">
        <v>90</v>
      </c>
      <c r="K43" s="101" t="s">
        <v>204</v>
      </c>
      <c r="N43" s="23"/>
      <c r="O43" s="61"/>
      <c r="P43" s="61"/>
      <c r="Q43" s="61"/>
      <c r="R43" s="61"/>
      <c r="S43" s="23"/>
      <c r="T43" s="23"/>
      <c r="U43" s="131"/>
      <c r="V43" s="46"/>
      <c r="W43" s="18"/>
      <c r="X43" s="18"/>
      <c r="Y43" s="108"/>
      <c r="Z43" s="48"/>
      <c r="AA43" s="47"/>
      <c r="AB43" s="47"/>
      <c r="AC43" s="18"/>
    </row>
    <row r="44" spans="1:29" x14ac:dyDescent="0.25">
      <c r="G44" s="4"/>
      <c r="N44" s="23"/>
      <c r="O44" s="61"/>
      <c r="P44" s="61"/>
      <c r="Q44" s="61"/>
      <c r="R44" s="61"/>
      <c r="S44" s="23"/>
      <c r="T44" s="23"/>
      <c r="U44" s="131"/>
      <c r="V44" s="46"/>
      <c r="W44" s="18"/>
      <c r="X44" s="18"/>
      <c r="Y44" s="108"/>
      <c r="Z44" s="48"/>
      <c r="AA44" s="47"/>
      <c r="AB44" s="47"/>
      <c r="AC44" s="48"/>
    </row>
    <row r="45" spans="1:29" ht="15.75" thickBot="1" x14ac:dyDescent="0.3">
      <c r="N45" s="23"/>
      <c r="O45" s="61"/>
      <c r="P45" s="61"/>
      <c r="Q45" s="61"/>
      <c r="R45" s="61"/>
      <c r="S45" s="23"/>
      <c r="T45" s="23"/>
      <c r="U45" s="131"/>
      <c r="V45" s="18"/>
      <c r="W45" s="18"/>
      <c r="X45" s="18"/>
      <c r="Y45" s="107"/>
      <c r="Z45" s="18"/>
      <c r="AA45" s="48"/>
      <c r="AB45" s="48"/>
      <c r="AC45" s="18"/>
    </row>
    <row r="46" spans="1:29" x14ac:dyDescent="0.25">
      <c r="A46" s="2" t="s">
        <v>68</v>
      </c>
      <c r="B46" t="s">
        <v>69</v>
      </c>
      <c r="H46" s="87" t="s">
        <v>134</v>
      </c>
      <c r="I46" s="88" t="s">
        <v>132</v>
      </c>
      <c r="J46" s="88" t="s">
        <v>131</v>
      </c>
      <c r="K46" s="89" t="s">
        <v>133</v>
      </c>
      <c r="N46" s="23"/>
      <c r="O46" s="61"/>
      <c r="P46" s="61"/>
      <c r="Q46" s="61"/>
      <c r="R46" s="61"/>
      <c r="S46" s="23"/>
      <c r="T46" s="23"/>
      <c r="U46" s="131"/>
      <c r="V46" s="46"/>
      <c r="W46" s="47"/>
      <c r="X46" s="48"/>
      <c r="Y46" s="107"/>
      <c r="Z46" s="48"/>
      <c r="AA46" s="47"/>
      <c r="AB46" s="47"/>
      <c r="AC46" s="18"/>
    </row>
    <row r="47" spans="1:29" ht="18" x14ac:dyDescent="0.35">
      <c r="A47" t="s">
        <v>161</v>
      </c>
      <c r="C47" s="3" t="s">
        <v>160</v>
      </c>
      <c r="F47" t="s">
        <v>74</v>
      </c>
      <c r="G47" s="4" t="s">
        <v>36</v>
      </c>
      <c r="H47" s="76">
        <f>H49*H50</f>
        <v>2.3845770301542046</v>
      </c>
      <c r="I47" s="77">
        <f>I49*I50</f>
        <v>2.9807212876927558</v>
      </c>
      <c r="J47" s="77">
        <f>J49*J50</f>
        <v>5.9614425753855116</v>
      </c>
      <c r="K47" s="90">
        <f>K49*K50</f>
        <v>20.865049013849294</v>
      </c>
      <c r="N47" s="23"/>
      <c r="O47" s="61"/>
      <c r="P47" s="61"/>
      <c r="Q47" s="61"/>
      <c r="R47" s="61"/>
      <c r="S47" s="23"/>
      <c r="T47" s="23"/>
      <c r="U47" s="131"/>
      <c r="V47" s="46"/>
      <c r="W47" s="18"/>
      <c r="X47" s="132"/>
      <c r="Y47" s="108"/>
      <c r="Z47" s="48"/>
      <c r="AA47" s="18"/>
      <c r="AB47" s="132"/>
      <c r="AC47" s="18"/>
    </row>
    <row r="48" spans="1:29" x14ac:dyDescent="0.25">
      <c r="H48" s="76"/>
      <c r="I48" s="77"/>
      <c r="J48" s="77"/>
      <c r="K48" s="90"/>
    </row>
    <row r="49" spans="1:11" x14ac:dyDescent="0.25">
      <c r="A49" s="4"/>
      <c r="B49" t="s">
        <v>45</v>
      </c>
      <c r="C49" t="s">
        <v>125</v>
      </c>
      <c r="G49" s="4" t="s">
        <v>36</v>
      </c>
      <c r="H49" s="76">
        <f>E15</f>
        <v>298.07212876927559</v>
      </c>
      <c r="I49" s="77">
        <f>H49</f>
        <v>298.07212876927559</v>
      </c>
      <c r="J49" s="77">
        <f t="shared" ref="J49:K49" si="0">I49</f>
        <v>298.07212876927559</v>
      </c>
      <c r="K49" s="90">
        <f t="shared" si="0"/>
        <v>298.07212876927559</v>
      </c>
    </row>
    <row r="50" spans="1:11" ht="15.75" thickBot="1" x14ac:dyDescent="0.3">
      <c r="B50" t="s">
        <v>124</v>
      </c>
      <c r="C50" t="s">
        <v>126</v>
      </c>
      <c r="G50" s="4" t="s">
        <v>36</v>
      </c>
      <c r="H50" s="91">
        <f>O41</f>
        <v>8.0000000000000002E-3</v>
      </c>
      <c r="I50" s="92">
        <f t="shared" ref="I50:K50" si="1">P41</f>
        <v>0.01</v>
      </c>
      <c r="J50" s="92">
        <f t="shared" si="1"/>
        <v>0.02</v>
      </c>
      <c r="K50" s="93">
        <f t="shared" si="1"/>
        <v>7.0000000000000007E-2</v>
      </c>
    </row>
    <row r="52" spans="1:11" ht="15.75" thickBot="1" x14ac:dyDescent="0.3">
      <c r="A52" t="s">
        <v>54</v>
      </c>
      <c r="G52" s="2" t="s">
        <v>208</v>
      </c>
    </row>
    <row r="53" spans="1:11" ht="15.75" thickBot="1" x14ac:dyDescent="0.3">
      <c r="A53" t="s">
        <v>206</v>
      </c>
      <c r="C53" t="s">
        <v>207</v>
      </c>
      <c r="H53" s="94">
        <f>H37+H47</f>
        <v>2.3845770301542046</v>
      </c>
      <c r="I53" s="95">
        <f>I37+I47</f>
        <v>7.5944911534439319</v>
      </c>
      <c r="J53" s="95">
        <f>J37+J47</f>
        <v>8.2939546849945387</v>
      </c>
      <c r="K53" s="96">
        <f>K37+K47</f>
        <v>20.865049013849294</v>
      </c>
    </row>
    <row r="54" spans="1:11" ht="18.75" x14ac:dyDescent="0.3">
      <c r="A54" s="59" t="s">
        <v>166</v>
      </c>
      <c r="B54" s="60"/>
      <c r="C54" s="60"/>
      <c r="D54" s="60"/>
      <c r="E54" s="60"/>
      <c r="F54" s="60"/>
    </row>
    <row r="56" spans="1:11" x14ac:dyDescent="0.25">
      <c r="A56" s="2" t="s">
        <v>149</v>
      </c>
    </row>
    <row r="57" spans="1:11" x14ac:dyDescent="0.25">
      <c r="A57" t="s">
        <v>142</v>
      </c>
    </row>
    <row r="58" spans="1:11" x14ac:dyDescent="0.25">
      <c r="B58" t="s">
        <v>146</v>
      </c>
      <c r="C58" s="52" cm="1">
        <f t="array" ref="C58">INDEX(Z41:Z47,B5)</f>
        <v>3.4999999999999999E-6</v>
      </c>
      <c r="D58" s="2" t="s">
        <v>147</v>
      </c>
      <c r="G58" s="53" t="s">
        <v>144</v>
      </c>
    </row>
    <row r="60" spans="1:11" x14ac:dyDescent="0.25">
      <c r="A60" s="2" t="s">
        <v>145</v>
      </c>
    </row>
    <row r="61" spans="1:11" x14ac:dyDescent="0.25">
      <c r="A61" s="2" t="s">
        <v>141</v>
      </c>
    </row>
    <row r="62" spans="1:11" x14ac:dyDescent="0.25">
      <c r="B62" t="s">
        <v>46</v>
      </c>
      <c r="C62" t="s">
        <v>163</v>
      </c>
      <c r="F62" t="s">
        <v>36</v>
      </c>
      <c r="G62">
        <f>B8</f>
        <v>1.4999999999999999E-2</v>
      </c>
      <c r="H62" t="s">
        <v>47</v>
      </c>
    </row>
    <row r="63" spans="1:11" x14ac:dyDescent="0.25">
      <c r="B63" t="s">
        <v>148</v>
      </c>
      <c r="C63" t="s">
        <v>164</v>
      </c>
      <c r="G63" s="56" cm="1">
        <f t="array" ref="G63">INDEX(Y41:Y47,B5)</f>
        <v>1.4999999999999999E-2</v>
      </c>
      <c r="H63" t="s">
        <v>47</v>
      </c>
    </row>
    <row r="64" spans="1:11" x14ac:dyDescent="0.25">
      <c r="B64" s="54" t="s">
        <v>143</v>
      </c>
      <c r="C64" t="s">
        <v>165</v>
      </c>
      <c r="G64" s="55">
        <f>G62/G63</f>
        <v>1</v>
      </c>
    </row>
    <row r="67" spans="1:20" ht="18.75" x14ac:dyDescent="0.25">
      <c r="A67" s="2" t="s">
        <v>110</v>
      </c>
      <c r="B67" t="s">
        <v>111</v>
      </c>
      <c r="F67" t="s">
        <v>70</v>
      </c>
      <c r="H67" t="s">
        <v>218</v>
      </c>
      <c r="J67" t="s">
        <v>217</v>
      </c>
      <c r="L67" s="51" t="s">
        <v>150</v>
      </c>
    </row>
    <row r="68" spans="1:20" ht="18" thickBot="1" x14ac:dyDescent="0.3">
      <c r="C68" s="3" t="s">
        <v>167</v>
      </c>
      <c r="G68" s="4" t="s">
        <v>36</v>
      </c>
      <c r="H68" s="57">
        <f>(H72*H70*H71*(10^-9))/350</f>
        <v>1.7694534860491201E-6</v>
      </c>
      <c r="I68" t="s">
        <v>70</v>
      </c>
      <c r="J68" s="57">
        <f>(J72*J70*J71*(10^-9))/350</f>
        <v>3.8323559413192578E-6</v>
      </c>
    </row>
    <row r="69" spans="1:20" x14ac:dyDescent="0.25">
      <c r="C69" s="52"/>
      <c r="J69" s="56"/>
      <c r="L69" s="13"/>
      <c r="M69" s="14" t="s">
        <v>137</v>
      </c>
      <c r="N69" s="14"/>
      <c r="O69" s="14"/>
      <c r="P69" s="14"/>
      <c r="Q69" s="14"/>
      <c r="R69" s="14"/>
      <c r="S69" s="14"/>
      <c r="T69" s="16"/>
    </row>
    <row r="70" spans="1:20" ht="15.75" thickBot="1" x14ac:dyDescent="0.3">
      <c r="B70" t="s">
        <v>45</v>
      </c>
      <c r="C70" t="s">
        <v>73</v>
      </c>
      <c r="D70" t="s">
        <v>74</v>
      </c>
      <c r="G70" s="4" t="s">
        <v>36</v>
      </c>
      <c r="H70" s="7">
        <f>E14</f>
        <v>4471.0819315391345</v>
      </c>
      <c r="J70">
        <f>H70</f>
        <v>4471.0819315391345</v>
      </c>
      <c r="L70" s="19"/>
      <c r="M70" s="33"/>
      <c r="N70" s="33" t="s">
        <v>80</v>
      </c>
      <c r="O70" s="33" t="s">
        <v>81</v>
      </c>
      <c r="P70" s="34" t="s">
        <v>82</v>
      </c>
      <c r="Q70" s="35" t="s">
        <v>83</v>
      </c>
      <c r="R70" s="33" t="s">
        <v>85</v>
      </c>
      <c r="S70" s="33" t="s">
        <v>84</v>
      </c>
      <c r="T70" s="26"/>
    </row>
    <row r="71" spans="1:20" x14ac:dyDescent="0.25">
      <c r="B71" t="s">
        <v>75</v>
      </c>
      <c r="C71" t="s">
        <v>76</v>
      </c>
      <c r="G71" s="4" t="s">
        <v>36</v>
      </c>
      <c r="H71" s="7">
        <f>INDEX(D78:D84,B5)/100</f>
        <v>0.06</v>
      </c>
      <c r="J71">
        <f>H71</f>
        <v>0.06</v>
      </c>
      <c r="L71" s="13" t="s">
        <v>77</v>
      </c>
      <c r="M71" s="16" t="s">
        <v>86</v>
      </c>
      <c r="N71" s="31">
        <v>1200</v>
      </c>
      <c r="O71" s="31">
        <v>3600</v>
      </c>
      <c r="P71" s="31">
        <v>7500</v>
      </c>
      <c r="Q71" s="31">
        <v>6400</v>
      </c>
      <c r="R71" s="31">
        <v>1200</v>
      </c>
      <c r="S71" s="31">
        <v>2600</v>
      </c>
      <c r="T71" s="24"/>
    </row>
    <row r="72" spans="1:20" x14ac:dyDescent="0.25">
      <c r="B72" t="s">
        <v>71</v>
      </c>
      <c r="C72" t="s">
        <v>72</v>
      </c>
      <c r="G72" s="4" t="s">
        <v>36</v>
      </c>
      <c r="H72" s="9">
        <f>(2*H73+14*H74+(70-16)*H75)/70</f>
        <v>2308.5714285714284</v>
      </c>
      <c r="I72" t="str">
        <f>E73&amp;" "&amp;F73&amp;" Weight"</f>
        <v>Warm Mean Weight</v>
      </c>
      <c r="J72" s="52">
        <f>S72</f>
        <v>5000</v>
      </c>
      <c r="L72" s="17" t="str">
        <f>L71</f>
        <v>Warm</v>
      </c>
      <c r="M72" s="24" t="s">
        <v>87</v>
      </c>
      <c r="N72" s="31">
        <v>2600</v>
      </c>
      <c r="O72" s="31">
        <v>4300</v>
      </c>
      <c r="P72" s="31">
        <v>9100</v>
      </c>
      <c r="Q72" s="31">
        <v>8500</v>
      </c>
      <c r="R72" s="31">
        <v>2600</v>
      </c>
      <c r="S72" s="31">
        <v>5000</v>
      </c>
      <c r="T72" s="24"/>
    </row>
    <row r="73" spans="1:20" x14ac:dyDescent="0.25">
      <c r="B73" t="s">
        <v>151</v>
      </c>
      <c r="D73" s="5">
        <v>1</v>
      </c>
      <c r="E73" t="str" cm="1">
        <f t="array" ref="E73">INDEX(L71:L76,D73)</f>
        <v>Warm</v>
      </c>
      <c r="F73" t="str" cm="1">
        <f t="array" ref="F73">INDEX(M71:M76,D73)</f>
        <v>Mean</v>
      </c>
      <c r="G73" s="10" t="s">
        <v>81</v>
      </c>
      <c r="H73" s="7" cm="1">
        <f t="array" ref="H73">INDEX(O$71:O$76,$D$73)</f>
        <v>3600</v>
      </c>
      <c r="L73" s="17" t="s">
        <v>78</v>
      </c>
      <c r="M73" s="24" t="s">
        <v>86</v>
      </c>
      <c r="N73" s="31">
        <v>1100</v>
      </c>
      <c r="O73" s="31">
        <v>2200</v>
      </c>
      <c r="P73" s="31">
        <v>6600</v>
      </c>
      <c r="Q73" s="31">
        <v>5700</v>
      </c>
      <c r="R73" s="31">
        <v>1100</v>
      </c>
      <c r="S73" s="31">
        <v>2600</v>
      </c>
      <c r="T73" s="24"/>
    </row>
    <row r="74" spans="1:20" x14ac:dyDescent="0.25">
      <c r="G74" s="58" t="s">
        <v>83</v>
      </c>
      <c r="H74" s="7" cm="1">
        <f t="array" ref="H74">INDEX(Q$71:Q$76,$D$73)</f>
        <v>6400</v>
      </c>
      <c r="L74" s="17" t="str">
        <f>L73</f>
        <v>Mixed</v>
      </c>
      <c r="M74" s="24" t="s">
        <v>87</v>
      </c>
      <c r="N74" s="31">
        <v>2400</v>
      </c>
      <c r="O74" s="31">
        <v>2900</v>
      </c>
      <c r="P74" s="31">
        <v>8700</v>
      </c>
      <c r="Q74" s="31">
        <v>8100</v>
      </c>
      <c r="R74" s="31">
        <v>2400</v>
      </c>
      <c r="S74" s="31">
        <v>5000</v>
      </c>
      <c r="T74" s="24"/>
    </row>
    <row r="75" spans="1:20" x14ac:dyDescent="0.25">
      <c r="G75" s="4" t="s">
        <v>203</v>
      </c>
      <c r="H75" s="7" cm="1">
        <f t="array" ref="H75">INDEX(R$71:R$76,$D$73)</f>
        <v>1200</v>
      </c>
      <c r="L75" s="17" t="s">
        <v>79</v>
      </c>
      <c r="M75" s="24" t="s">
        <v>86</v>
      </c>
      <c r="N75" s="31">
        <v>700</v>
      </c>
      <c r="O75" s="31">
        <v>1200</v>
      </c>
      <c r="P75" s="31">
        <v>3100</v>
      </c>
      <c r="Q75" s="31">
        <v>2800</v>
      </c>
      <c r="R75" s="31">
        <v>700</v>
      </c>
      <c r="S75" s="31">
        <v>2600</v>
      </c>
      <c r="T75" s="24"/>
    </row>
    <row r="76" spans="1:20" ht="15.75" thickBot="1" x14ac:dyDescent="0.3">
      <c r="G76" s="4"/>
      <c r="H76" s="6"/>
      <c r="L76" s="19" t="str">
        <f>L75</f>
        <v>Cold</v>
      </c>
      <c r="M76" s="26" t="s">
        <v>87</v>
      </c>
      <c r="N76" s="32">
        <v>2100</v>
      </c>
      <c r="O76" s="32">
        <v>1900</v>
      </c>
      <c r="P76" s="32">
        <v>5200</v>
      </c>
      <c r="Q76" s="32">
        <v>5100</v>
      </c>
      <c r="R76" s="32">
        <v>2100</v>
      </c>
      <c r="S76" s="32">
        <v>5000</v>
      </c>
      <c r="T76" s="26"/>
    </row>
    <row r="77" spans="1:20" x14ac:dyDescent="0.25">
      <c r="C77" s="2" t="s">
        <v>0</v>
      </c>
      <c r="D77" s="2" t="s">
        <v>197</v>
      </c>
    </row>
    <row r="78" spans="1:20" x14ac:dyDescent="0.25">
      <c r="C78" t="s">
        <v>88</v>
      </c>
      <c r="D78">
        <v>6</v>
      </c>
    </row>
    <row r="79" spans="1:20" x14ac:dyDescent="0.25">
      <c r="C79" t="s">
        <v>89</v>
      </c>
      <c r="D79">
        <v>3</v>
      </c>
    </row>
    <row r="80" spans="1:20" x14ac:dyDescent="0.25">
      <c r="C80" t="s">
        <v>90</v>
      </c>
      <c r="D80">
        <v>0.2</v>
      </c>
    </row>
    <row r="81" spans="1:34" x14ac:dyDescent="0.25">
      <c r="C81" t="s">
        <v>127</v>
      </c>
      <c r="D81">
        <v>2</v>
      </c>
    </row>
    <row r="82" spans="1:34" x14ac:dyDescent="0.25">
      <c r="C82" t="s">
        <v>91</v>
      </c>
      <c r="D82">
        <v>3</v>
      </c>
    </row>
    <row r="83" spans="1:34" x14ac:dyDescent="0.25">
      <c r="C83" t="s">
        <v>92</v>
      </c>
      <c r="D83">
        <v>2</v>
      </c>
    </row>
    <row r="84" spans="1:34" x14ac:dyDescent="0.25">
      <c r="C84" t="s">
        <v>128</v>
      </c>
      <c r="D84">
        <v>3</v>
      </c>
    </row>
    <row r="87" spans="1:34" x14ac:dyDescent="0.25">
      <c r="A87" s="2" t="s">
        <v>112</v>
      </c>
      <c r="B87" t="s">
        <v>113</v>
      </c>
      <c r="H87" t="s">
        <v>218</v>
      </c>
      <c r="J87" t="s">
        <v>217</v>
      </c>
      <c r="O87" t="s">
        <v>237</v>
      </c>
      <c r="S87" s="2" t="s">
        <v>246</v>
      </c>
      <c r="T87" s="2"/>
      <c r="U87" s="2"/>
      <c r="V87" s="2"/>
      <c r="W87" s="2"/>
      <c r="X87" s="2"/>
    </row>
    <row r="88" spans="1:34" ht="19.5" thickBot="1" x14ac:dyDescent="0.3">
      <c r="A88" s="51" t="s">
        <v>193</v>
      </c>
      <c r="C88" s="3" t="s">
        <v>195</v>
      </c>
      <c r="G88" s="4" t="s">
        <v>36</v>
      </c>
      <c r="H88" s="57">
        <f>H90*H91*H93*H94*10^-9</f>
        <v>7.6953707301690707E-6</v>
      </c>
      <c r="I88" t="s">
        <v>70</v>
      </c>
      <c r="J88" s="57">
        <f>J90*J91*J93*J94*10^-9</f>
        <v>8.0479474767704412E-6</v>
      </c>
      <c r="N88" s="7">
        <f>SUMPRODUCT(N90:N95,$M90:$M95)/70</f>
        <v>1.6342857142857143</v>
      </c>
      <c r="O88" s="7">
        <f>SUMPRODUCT(O90:O95,$M90:$M95)/70</f>
        <v>2.8685714285714288</v>
      </c>
      <c r="P88" s="7">
        <f>SUMPRODUCT(P90:P95,$M90:$M95)/70</f>
        <v>5.4571428571428573</v>
      </c>
      <c r="S88" s="2" t="s">
        <v>244</v>
      </c>
      <c r="T88" s="2" t="s">
        <v>247</v>
      </c>
      <c r="U88" s="2" t="s">
        <v>245</v>
      </c>
      <c r="V88" s="2" t="s">
        <v>248</v>
      </c>
      <c r="W88" s="2" t="s">
        <v>249</v>
      </c>
      <c r="X88" s="2" t="s">
        <v>250</v>
      </c>
    </row>
    <row r="89" spans="1:34" x14ac:dyDescent="0.25">
      <c r="L89" t="s">
        <v>96</v>
      </c>
      <c r="M89" s="1" t="s">
        <v>191</v>
      </c>
      <c r="N89" t="s">
        <v>86</v>
      </c>
      <c r="O89" s="1" t="s">
        <v>227</v>
      </c>
      <c r="P89" t="s">
        <v>103</v>
      </c>
      <c r="Q89" s="6"/>
      <c r="S89" s="149">
        <v>1</v>
      </c>
      <c r="T89" s="144">
        <v>100</v>
      </c>
      <c r="U89" s="144">
        <v>7.8</v>
      </c>
      <c r="V89" s="15">
        <f>T89/U89</f>
        <v>12.820512820512821</v>
      </c>
      <c r="W89" s="15">
        <v>1</v>
      </c>
      <c r="X89" s="16">
        <f>(V89*W89+V90*W90)/SUM(W89:W90)</f>
        <v>15.182186234817813</v>
      </c>
    </row>
    <row r="90" spans="1:34" ht="15.75" thickBot="1" x14ac:dyDescent="0.3">
      <c r="B90" t="s">
        <v>45</v>
      </c>
      <c r="C90" t="s">
        <v>116</v>
      </c>
      <c r="G90" s="4" t="s">
        <v>36</v>
      </c>
      <c r="H90" s="7">
        <f>E14</f>
        <v>4471.0819315391345</v>
      </c>
      <c r="I90" t="str">
        <f>F14</f>
        <v>ug/kg</v>
      </c>
      <c r="J90">
        <f>H90</f>
        <v>4471.0819315391345</v>
      </c>
      <c r="L90" t="s">
        <v>80</v>
      </c>
      <c r="M90" s="5">
        <v>0</v>
      </c>
      <c r="N90">
        <v>0.7</v>
      </c>
      <c r="O90" s="113">
        <v>0.7</v>
      </c>
      <c r="P90">
        <v>3</v>
      </c>
      <c r="Q90" s="6"/>
      <c r="S90" s="150" t="s">
        <v>238</v>
      </c>
      <c r="T90" s="20">
        <v>200</v>
      </c>
      <c r="U90" s="20">
        <f>11.4</f>
        <v>11.4</v>
      </c>
      <c r="V90" s="25">
        <f t="shared" ref="V90:V95" si="2">T90/U90</f>
        <v>17.543859649122805</v>
      </c>
      <c r="W90" s="25">
        <v>1</v>
      </c>
      <c r="X90" s="26"/>
    </row>
    <row r="91" spans="1:34" x14ac:dyDescent="0.25">
      <c r="B91" t="s">
        <v>93</v>
      </c>
      <c r="C91" t="s">
        <v>94</v>
      </c>
      <c r="G91" s="4" t="s">
        <v>36</v>
      </c>
      <c r="H91" s="113">
        <v>0.6</v>
      </c>
      <c r="J91">
        <f>H91</f>
        <v>0.6</v>
      </c>
      <c r="L91" s="3" t="s">
        <v>98</v>
      </c>
      <c r="M91" s="5">
        <v>2</v>
      </c>
      <c r="N91">
        <v>20</v>
      </c>
      <c r="O91" s="113">
        <v>15</v>
      </c>
      <c r="P91">
        <v>40</v>
      </c>
      <c r="Q91" s="6"/>
      <c r="S91" s="151" t="s">
        <v>239</v>
      </c>
      <c r="T91" s="144">
        <v>200</v>
      </c>
      <c r="U91" s="144">
        <v>17.399999999999999</v>
      </c>
      <c r="V91" s="15">
        <f t="shared" si="2"/>
        <v>11.494252873563219</v>
      </c>
      <c r="W91" s="15">
        <v>4</v>
      </c>
      <c r="X91" s="16">
        <f>SUMPRODUCT(V91:V93,W91:W93)/SUM(W91:W93)</f>
        <v>6.7877990126837791</v>
      </c>
    </row>
    <row r="92" spans="1:34" x14ac:dyDescent="0.25">
      <c r="B92" s="70"/>
      <c r="C92" s="70" t="s">
        <v>152</v>
      </c>
      <c r="D92" s="70"/>
      <c r="E92" s="70"/>
      <c r="F92" s="70">
        <v>2</v>
      </c>
      <c r="G92" s="70"/>
      <c r="H92" s="111" t="str" cm="1">
        <f t="array" ref="H92">INDEX(N89:P89,F92)</f>
        <v>OHA</v>
      </c>
      <c r="I92" t="str">
        <f>H92</f>
        <v>OHA</v>
      </c>
      <c r="L92" s="3" t="s">
        <v>102</v>
      </c>
      <c r="M92" s="5">
        <v>0</v>
      </c>
      <c r="N92">
        <v>5</v>
      </c>
      <c r="O92" s="113"/>
      <c r="P92">
        <v>20</v>
      </c>
      <c r="Q92" s="6"/>
      <c r="S92" s="152" t="s">
        <v>240</v>
      </c>
      <c r="T92" s="18">
        <v>200</v>
      </c>
      <c r="U92" s="18">
        <v>31.8</v>
      </c>
      <c r="V92" s="23">
        <f t="shared" si="2"/>
        <v>6.2893081761006284</v>
      </c>
      <c r="W92" s="23">
        <v>5</v>
      </c>
      <c r="X92" s="24"/>
    </row>
    <row r="93" spans="1:34" ht="15.75" thickBot="1" x14ac:dyDescent="0.3">
      <c r="B93" s="70" t="s">
        <v>194</v>
      </c>
      <c r="C93" s="70" t="s">
        <v>95</v>
      </c>
      <c r="D93" s="70"/>
      <c r="E93" s="70"/>
      <c r="F93" s="70"/>
      <c r="G93" s="72" t="s">
        <v>36</v>
      </c>
      <c r="H93" s="141" cm="1">
        <f t="array" ref="H93">INDEX(N88:P88,F92)</f>
        <v>2.8685714285714288</v>
      </c>
      <c r="J93" s="212">
        <v>3</v>
      </c>
      <c r="L93" s="3" t="s">
        <v>101</v>
      </c>
      <c r="M93" s="5">
        <v>14</v>
      </c>
      <c r="N93">
        <v>3</v>
      </c>
      <c r="O93" s="113">
        <v>6.8</v>
      </c>
      <c r="P93">
        <v>10</v>
      </c>
      <c r="Q93" s="6"/>
      <c r="S93" s="153" t="s">
        <v>241</v>
      </c>
      <c r="T93" s="20">
        <v>200</v>
      </c>
      <c r="U93" s="20">
        <v>56.8</v>
      </c>
      <c r="V93" s="25">
        <f t="shared" si="2"/>
        <v>3.5211267605633805</v>
      </c>
      <c r="W93" s="25">
        <v>5</v>
      </c>
      <c r="X93" s="26"/>
    </row>
    <row r="94" spans="1:34" x14ac:dyDescent="0.25">
      <c r="B94" t="s">
        <v>97</v>
      </c>
      <c r="C94" t="s">
        <v>196</v>
      </c>
      <c r="G94" s="4" t="s">
        <v>36</v>
      </c>
      <c r="H94" s="8">
        <v>1</v>
      </c>
      <c r="J94">
        <f>H94</f>
        <v>1</v>
      </c>
      <c r="L94" s="3" t="s">
        <v>99</v>
      </c>
      <c r="M94" s="5">
        <v>0</v>
      </c>
      <c r="N94">
        <v>0.7</v>
      </c>
      <c r="O94" s="113"/>
      <c r="P94">
        <v>3</v>
      </c>
      <c r="Q94" s="6"/>
      <c r="S94" s="154" t="s">
        <v>242</v>
      </c>
      <c r="T94" s="144">
        <v>200</v>
      </c>
      <c r="U94" s="144">
        <v>71.599999999999994</v>
      </c>
      <c r="V94" s="15">
        <f t="shared" si="2"/>
        <v>2.7932960893854752</v>
      </c>
      <c r="W94" s="15">
        <v>5</v>
      </c>
      <c r="X94" s="16">
        <f>(V94*W94+V95*W95)/SUM(W94:W95)</f>
        <v>1.3928977860542107</v>
      </c>
    </row>
    <row r="95" spans="1:34" ht="15.75" thickBot="1" x14ac:dyDescent="0.3">
      <c r="L95" s="3" t="s">
        <v>100</v>
      </c>
      <c r="M95" s="5">
        <v>54</v>
      </c>
      <c r="N95">
        <v>0.6</v>
      </c>
      <c r="O95" s="113">
        <v>1.4</v>
      </c>
      <c r="P95">
        <v>3</v>
      </c>
      <c r="Q95" s="6"/>
      <c r="S95" s="153" t="s">
        <v>243</v>
      </c>
      <c r="T95" s="20">
        <v>100</v>
      </c>
      <c r="U95" s="20">
        <f>80</f>
        <v>80</v>
      </c>
      <c r="V95" s="25">
        <f t="shared" si="2"/>
        <v>1.25</v>
      </c>
      <c r="W95" s="25">
        <f>70-21</f>
        <v>49</v>
      </c>
      <c r="X95" s="26"/>
      <c r="AB95" s="202"/>
      <c r="AC95" s="203"/>
      <c r="AD95" s="203"/>
      <c r="AE95" s="203"/>
      <c r="AF95" s="203"/>
      <c r="AG95" s="203"/>
      <c r="AH95" s="203"/>
    </row>
    <row r="96" spans="1:34" ht="15.75" thickBot="1" x14ac:dyDescent="0.3">
      <c r="O96" s="1"/>
      <c r="W96">
        <f>SUM(W89:W95)</f>
        <v>70</v>
      </c>
      <c r="X96">
        <f>SUMPRODUCT(V89:V95,W89:W95)/W96</f>
        <v>2.8658577013447988</v>
      </c>
      <c r="AB96" s="205" t="s">
        <v>256</v>
      </c>
      <c r="AC96" s="198"/>
      <c r="AD96" s="198"/>
    </row>
    <row r="97" spans="1:36" ht="15.75" thickBot="1" x14ac:dyDescent="0.3">
      <c r="A97" s="2" t="s">
        <v>168</v>
      </c>
      <c r="B97" t="s">
        <v>115</v>
      </c>
      <c r="I97" s="73" t="s">
        <v>209</v>
      </c>
      <c r="J97" s="74" t="s">
        <v>210</v>
      </c>
      <c r="K97" s="74" t="s">
        <v>211</v>
      </c>
      <c r="L97" s="74" t="s">
        <v>133</v>
      </c>
      <c r="M97" s="75" t="s">
        <v>208</v>
      </c>
      <c r="AB97" s="205" t="s">
        <v>255</v>
      </c>
      <c r="AC97" s="198"/>
      <c r="AD97" s="198"/>
    </row>
    <row r="98" spans="1:36" ht="17.25" x14ac:dyDescent="0.25">
      <c r="A98" s="2"/>
      <c r="C98" s="3" t="s">
        <v>213</v>
      </c>
      <c r="F98" t="s">
        <v>70</v>
      </c>
      <c r="H98" s="4" t="s">
        <v>36</v>
      </c>
      <c r="I98" s="76">
        <f>I100*I101*$I$103*$I$104*$I$105</f>
        <v>0.8605870371054235</v>
      </c>
      <c r="J98" s="77">
        <f>J100*J101*$I$103*$J$104*$I$105</f>
        <v>1.8401018093871595</v>
      </c>
      <c r="K98" s="77">
        <f>K100*K101*$I$103*$K$104*$I$105</f>
        <v>4.2626424648328651</v>
      </c>
      <c r="L98" s="77">
        <f>L100*L101*$I$103*$L$104*$I$105</f>
        <v>8.0446686833539811</v>
      </c>
      <c r="M98" s="206">
        <f>SUM(I98:L98)*(10^-6)</f>
        <v>1.500799999467943E-5</v>
      </c>
      <c r="O98" t="s">
        <v>212</v>
      </c>
      <c r="R98" s="21"/>
      <c r="S98" s="144" t="s">
        <v>106</v>
      </c>
      <c r="T98" s="144"/>
      <c r="U98" s="144"/>
      <c r="V98" s="157"/>
      <c r="W98" s="158"/>
      <c r="X98" s="159"/>
      <c r="Y98" s="157"/>
      <c r="Z98" s="158"/>
      <c r="AA98" s="159"/>
      <c r="AB98" s="157"/>
      <c r="AC98" s="158"/>
      <c r="AD98" s="159"/>
      <c r="AE98" s="157"/>
      <c r="AF98" s="158"/>
      <c r="AG98" s="159"/>
      <c r="AH98" s="144"/>
      <c r="AI98" s="144"/>
      <c r="AJ98" s="145"/>
    </row>
    <row r="99" spans="1:36" x14ac:dyDescent="0.25">
      <c r="A99" s="2"/>
      <c r="I99" s="79"/>
      <c r="J99" s="80"/>
      <c r="K99" s="80"/>
      <c r="L99" s="80"/>
      <c r="M99" s="81"/>
      <c r="R99" s="38"/>
      <c r="S99" s="130" t="s">
        <v>80</v>
      </c>
      <c r="T99" s="130"/>
      <c r="U99" s="130"/>
      <c r="V99" s="160"/>
      <c r="W99" s="146" t="s">
        <v>98</v>
      </c>
      <c r="X99" s="161"/>
      <c r="Y99" s="160"/>
      <c r="Z99" s="146" t="s">
        <v>102</v>
      </c>
      <c r="AA99" s="161"/>
      <c r="AB99" s="169"/>
      <c r="AC99" s="146" t="s">
        <v>101</v>
      </c>
      <c r="AD99" s="170"/>
      <c r="AE99" s="160"/>
      <c r="AF99" s="146" t="s">
        <v>99</v>
      </c>
      <c r="AG99" s="161"/>
      <c r="AH99" s="146"/>
      <c r="AI99" s="146" t="s">
        <v>136</v>
      </c>
      <c r="AJ99" s="147"/>
    </row>
    <row r="100" spans="1:36" ht="15.75" thickBot="1" x14ac:dyDescent="0.3">
      <c r="B100" t="s">
        <v>54</v>
      </c>
      <c r="C100" t="s">
        <v>104</v>
      </c>
      <c r="H100" s="4" t="s">
        <v>36</v>
      </c>
      <c r="I100" s="82">
        <f>H53</f>
        <v>2.3845770301542046</v>
      </c>
      <c r="J100" s="83">
        <f>I53</f>
        <v>7.5944911534439319</v>
      </c>
      <c r="K100" s="83">
        <f>J53</f>
        <v>8.2939546849945387</v>
      </c>
      <c r="L100" s="83">
        <f>K53</f>
        <v>20.865049013849294</v>
      </c>
      <c r="M100" s="81"/>
      <c r="O100" s="1" t="s">
        <v>86</v>
      </c>
      <c r="P100" s="1" t="s">
        <v>252</v>
      </c>
      <c r="Q100" s="1" t="s">
        <v>135</v>
      </c>
      <c r="R100" s="22"/>
      <c r="S100" s="43" t="s">
        <v>86</v>
      </c>
      <c r="T100" s="43" t="s">
        <v>252</v>
      </c>
      <c r="U100" s="43" t="s">
        <v>135</v>
      </c>
      <c r="V100" s="162" t="s">
        <v>86</v>
      </c>
      <c r="W100" s="43" t="s">
        <v>252</v>
      </c>
      <c r="X100" s="163" t="s">
        <v>135</v>
      </c>
      <c r="Y100" s="162" t="s">
        <v>86</v>
      </c>
      <c r="Z100" s="43" t="s">
        <v>252</v>
      </c>
      <c r="AA100" s="163" t="s">
        <v>135</v>
      </c>
      <c r="AB100" s="162" t="s">
        <v>86</v>
      </c>
      <c r="AC100" s="43" t="s">
        <v>252</v>
      </c>
      <c r="AD100" s="163" t="s">
        <v>135</v>
      </c>
      <c r="AE100" s="162" t="s">
        <v>86</v>
      </c>
      <c r="AF100" s="43" t="s">
        <v>252</v>
      </c>
      <c r="AG100" s="163" t="s">
        <v>135</v>
      </c>
      <c r="AH100" s="43" t="s">
        <v>86</v>
      </c>
      <c r="AI100" s="43" t="s">
        <v>252</v>
      </c>
      <c r="AJ100" s="148" t="s">
        <v>135</v>
      </c>
    </row>
    <row r="101" spans="1:36" x14ac:dyDescent="0.25">
      <c r="B101" t="s">
        <v>106</v>
      </c>
      <c r="C101" t="s">
        <v>253</v>
      </c>
      <c r="H101" s="4" t="s">
        <v>36</v>
      </c>
      <c r="I101" s="82" cm="1">
        <f t="array" ref="I101">INDEX($O$104:$Q$104,$F$102)</f>
        <v>2.6342857142857143</v>
      </c>
      <c r="J101" s="83" cm="1">
        <f t="array" ref="J101">INDEX($O$102:$Q$102,$F$102)</f>
        <v>1.7685714285714285</v>
      </c>
      <c r="K101" s="83" cm="1">
        <f t="array" ref="K101">INDEX($O$101:$Q$101,$F$102)</f>
        <v>3.7514285714285718</v>
      </c>
      <c r="L101" s="83" cm="1">
        <f t="array" ref="L101">INDEX($O$103:$Q$103,$F$102)</f>
        <v>2.8142857142857145</v>
      </c>
      <c r="M101" s="81"/>
      <c r="N101" t="str">
        <f>R101</f>
        <v>Exposed</v>
      </c>
      <c r="O101" s="1">
        <f t="shared" ref="O101:Q104" si="3">(0*S101+2*V101+14*AB101+(70-16)*AH101)/70</f>
        <v>2.1028571428571428</v>
      </c>
      <c r="P101" s="1">
        <f t="shared" si="3"/>
        <v>3.7514285714285718</v>
      </c>
      <c r="Q101" s="1">
        <f t="shared" si="3"/>
        <v>6.3628571428571421</v>
      </c>
      <c r="R101" s="21" t="s">
        <v>131</v>
      </c>
      <c r="S101" s="18"/>
      <c r="T101" s="18"/>
      <c r="U101" s="18"/>
      <c r="V101" s="164">
        <v>11.7</v>
      </c>
      <c r="W101" s="18">
        <v>15.4</v>
      </c>
      <c r="X101" s="165">
        <v>30.2</v>
      </c>
      <c r="Y101" s="164">
        <v>7.4</v>
      </c>
      <c r="Z101" s="18">
        <v>9.9</v>
      </c>
      <c r="AA101" s="165">
        <v>21.7</v>
      </c>
      <c r="AB101" s="164">
        <v>1.9</v>
      </c>
      <c r="AC101" s="200">
        <v>7.3</v>
      </c>
      <c r="AD101" s="165">
        <v>5.9</v>
      </c>
      <c r="AE101" s="164">
        <v>1.9</v>
      </c>
      <c r="AF101" s="18">
        <v>2.6</v>
      </c>
      <c r="AG101" s="165">
        <v>5.9</v>
      </c>
      <c r="AH101" s="18">
        <v>1.8</v>
      </c>
      <c r="AI101" s="18">
        <v>2.4</v>
      </c>
      <c r="AJ101" s="11">
        <v>5.6</v>
      </c>
    </row>
    <row r="102" spans="1:36" x14ac:dyDescent="0.25">
      <c r="A102" s="2"/>
      <c r="C102" t="s">
        <v>254</v>
      </c>
      <c r="F102" s="69">
        <v>2</v>
      </c>
      <c r="G102" s="112" t="str" cm="1">
        <f t="array" ref="G102">INDEX(S100:U100,F102)</f>
        <v>75th</v>
      </c>
      <c r="I102" s="79"/>
      <c r="J102" s="80"/>
      <c r="K102" s="80"/>
      <c r="L102" s="80"/>
      <c r="M102" s="81"/>
      <c r="N102" t="str">
        <f>R102</f>
        <v>Leafy</v>
      </c>
      <c r="O102" s="1">
        <f t="shared" si="3"/>
        <v>1.1371428571428572</v>
      </c>
      <c r="P102" s="1">
        <f t="shared" si="3"/>
        <v>1.7685714285714285</v>
      </c>
      <c r="Q102" s="1">
        <f t="shared" si="3"/>
        <v>3.5714285714285716</v>
      </c>
      <c r="R102" s="38" t="s">
        <v>132</v>
      </c>
      <c r="S102" s="18"/>
      <c r="T102" s="18"/>
      <c r="U102" s="18"/>
      <c r="V102" s="164">
        <v>3.8</v>
      </c>
      <c r="W102" s="18">
        <v>5.3</v>
      </c>
      <c r="X102" s="165">
        <v>10.8</v>
      </c>
      <c r="Y102" s="164">
        <v>2.5</v>
      </c>
      <c r="Z102" s="18">
        <v>3.3</v>
      </c>
      <c r="AA102" s="165">
        <v>7.9</v>
      </c>
      <c r="AB102" s="164">
        <v>0.9</v>
      </c>
      <c r="AC102" s="200">
        <v>2.2999999999999998</v>
      </c>
      <c r="AD102" s="165">
        <v>3.2</v>
      </c>
      <c r="AE102" s="164">
        <v>0.9</v>
      </c>
      <c r="AF102" s="18">
        <v>1.3</v>
      </c>
      <c r="AG102" s="165">
        <v>3.2</v>
      </c>
      <c r="AH102" s="18">
        <v>1.1000000000000001</v>
      </c>
      <c r="AI102" s="18">
        <v>1.5</v>
      </c>
      <c r="AJ102" s="11">
        <v>3.4</v>
      </c>
    </row>
    <row r="103" spans="1:36" x14ac:dyDescent="0.25">
      <c r="B103" t="s">
        <v>93</v>
      </c>
      <c r="C103" s="1">
        <v>1</v>
      </c>
      <c r="H103" s="4" t="s">
        <v>36</v>
      </c>
      <c r="I103" s="129">
        <v>1</v>
      </c>
      <c r="J103" s="80"/>
      <c r="K103" s="80"/>
      <c r="L103" s="80"/>
      <c r="M103" s="81"/>
      <c r="N103" t="str">
        <f>R103</f>
        <v>Protected</v>
      </c>
      <c r="O103" s="1">
        <f t="shared" si="3"/>
        <v>1.7428571428571429</v>
      </c>
      <c r="P103" s="1">
        <f t="shared" si="3"/>
        <v>2.8142857142857145</v>
      </c>
      <c r="Q103" s="1">
        <f t="shared" si="3"/>
        <v>5.6714285714285717</v>
      </c>
      <c r="R103" s="38" t="s">
        <v>133</v>
      </c>
      <c r="S103" s="18"/>
      <c r="T103" s="18"/>
      <c r="U103" s="18"/>
      <c r="V103" s="164">
        <v>5.9</v>
      </c>
      <c r="W103" s="18">
        <v>7.5</v>
      </c>
      <c r="X103" s="165">
        <v>17.5</v>
      </c>
      <c r="Y103" s="164">
        <v>4.7</v>
      </c>
      <c r="Z103" s="18">
        <v>6.3</v>
      </c>
      <c r="AA103" s="165">
        <v>13.3</v>
      </c>
      <c r="AB103" s="164">
        <v>1.7</v>
      </c>
      <c r="AC103" s="200">
        <v>4.9000000000000004</v>
      </c>
      <c r="AD103" s="165">
        <v>5.8</v>
      </c>
      <c r="AE103" s="164">
        <v>1.7</v>
      </c>
      <c r="AF103" s="18">
        <v>2.1</v>
      </c>
      <c r="AG103" s="165">
        <v>5.8</v>
      </c>
      <c r="AH103" s="18">
        <v>1.6</v>
      </c>
      <c r="AI103" s="18">
        <v>2.1</v>
      </c>
      <c r="AJ103" s="11">
        <v>5.2</v>
      </c>
    </row>
    <row r="104" spans="1:36" ht="15.75" thickBot="1" x14ac:dyDescent="0.3">
      <c r="B104" t="s">
        <v>108</v>
      </c>
      <c r="C104" t="s">
        <v>107</v>
      </c>
      <c r="H104" s="4" t="s">
        <v>36</v>
      </c>
      <c r="I104" s="79">
        <f>IF(B105="N",I108,I107)</f>
        <v>0.13700000000000001</v>
      </c>
      <c r="J104" s="80">
        <f>I104</f>
        <v>0.13700000000000001</v>
      </c>
      <c r="K104" s="80">
        <f t="shared" ref="K104:L104" si="4">J104</f>
        <v>0.13700000000000001</v>
      </c>
      <c r="L104" s="80">
        <f t="shared" si="4"/>
        <v>0.13700000000000001</v>
      </c>
      <c r="M104" s="81"/>
      <c r="N104" t="str">
        <f>R104</f>
        <v>Root</v>
      </c>
      <c r="O104" s="1">
        <f t="shared" si="3"/>
        <v>1.6600000000000001</v>
      </c>
      <c r="P104" s="1">
        <f t="shared" si="3"/>
        <v>2.6342857142857143</v>
      </c>
      <c r="Q104" s="1">
        <f t="shared" si="3"/>
        <v>4.597142857142857</v>
      </c>
      <c r="R104" s="22" t="s">
        <v>134</v>
      </c>
      <c r="S104" s="20"/>
      <c r="T104" s="20"/>
      <c r="U104" s="20"/>
      <c r="V104" s="166">
        <v>5.7</v>
      </c>
      <c r="W104" s="167">
        <v>8.1999999999999993</v>
      </c>
      <c r="X104" s="168">
        <v>15.3</v>
      </c>
      <c r="Y104" s="166">
        <v>3.9</v>
      </c>
      <c r="Z104" s="167">
        <v>5</v>
      </c>
      <c r="AA104" s="168">
        <v>10.8</v>
      </c>
      <c r="AB104" s="166">
        <v>1.7</v>
      </c>
      <c r="AC104" s="201">
        <v>3.9</v>
      </c>
      <c r="AD104" s="168">
        <v>4.5999999999999996</v>
      </c>
      <c r="AE104" s="166">
        <v>1.7</v>
      </c>
      <c r="AF104" s="167">
        <v>2.2000000000000002</v>
      </c>
      <c r="AG104" s="168">
        <v>4.5999999999999996</v>
      </c>
      <c r="AH104" s="20">
        <v>1.5</v>
      </c>
      <c r="AI104" s="20">
        <v>2.1</v>
      </c>
      <c r="AJ104" s="12">
        <v>4.2</v>
      </c>
    </row>
    <row r="105" spans="1:36" ht="15.75" thickBot="1" x14ac:dyDescent="0.3">
      <c r="B105" t="s">
        <v>258</v>
      </c>
      <c r="C105" s="6" t="s">
        <v>259</v>
      </c>
      <c r="D105" s="6"/>
      <c r="E105" s="6"/>
      <c r="H105" s="4" t="s">
        <v>36</v>
      </c>
      <c r="I105" s="84">
        <v>1</v>
      </c>
      <c r="J105" s="85"/>
      <c r="K105" s="85"/>
      <c r="L105" s="85"/>
      <c r="M105" s="86"/>
    </row>
    <row r="107" spans="1:36" x14ac:dyDescent="0.25">
      <c r="I107" s="1">
        <v>5.9499999999999997E-2</v>
      </c>
      <c r="J107" s="1">
        <v>5.9499999999999997E-2</v>
      </c>
      <c r="K107" s="1">
        <v>5.9499999999999997E-2</v>
      </c>
      <c r="L107" s="1">
        <v>5.9499999999999997E-2</v>
      </c>
      <c r="M107" t="s">
        <v>230</v>
      </c>
      <c r="W107">
        <f>X101/W101</f>
        <v>1.9610389610389609</v>
      </c>
      <c r="AF107">
        <f>AG101/AF101</f>
        <v>2.2692307692307692</v>
      </c>
      <c r="AI107">
        <f>AJ101/AI101</f>
        <v>2.3333333333333335</v>
      </c>
    </row>
    <row r="108" spans="1:36" ht="18.75" x14ac:dyDescent="0.3">
      <c r="A108" s="59" t="s">
        <v>200</v>
      </c>
      <c r="B108" s="60"/>
      <c r="C108" s="60"/>
      <c r="D108" s="60"/>
      <c r="E108" s="60"/>
      <c r="F108" s="60"/>
      <c r="G108" s="60"/>
      <c r="I108" s="80">
        <v>0.13700000000000001</v>
      </c>
      <c r="J108" s="80">
        <f>I108</f>
        <v>0.13700000000000001</v>
      </c>
      <c r="K108" s="80">
        <f t="shared" ref="K108:L108" si="5">J108</f>
        <v>0.13700000000000001</v>
      </c>
      <c r="L108" s="80">
        <f t="shared" si="5"/>
        <v>0.13700000000000001</v>
      </c>
      <c r="M108" t="s">
        <v>231</v>
      </c>
      <c r="W108">
        <f t="shared" ref="W108:W110" si="6">X102/W102</f>
        <v>2.0377358490566038</v>
      </c>
      <c r="AF108">
        <f t="shared" ref="AF108:AF110" si="7">AG102/AF102</f>
        <v>2.4615384615384617</v>
      </c>
      <c r="AI108">
        <f t="shared" ref="AI108:AI110" si="8">AJ102/AI102</f>
        <v>2.2666666666666666</v>
      </c>
    </row>
    <row r="109" spans="1:36" x14ac:dyDescent="0.25">
      <c r="D109" t="s">
        <v>201</v>
      </c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>
        <f t="shared" si="6"/>
        <v>2.3333333333333335</v>
      </c>
      <c r="X109" s="124"/>
      <c r="Y109" s="124"/>
      <c r="Z109" s="124"/>
      <c r="AA109" s="124"/>
      <c r="AB109" s="124"/>
      <c r="AF109">
        <f t="shared" si="7"/>
        <v>2.7619047619047619</v>
      </c>
      <c r="AI109">
        <f t="shared" si="8"/>
        <v>2.4761904761904763</v>
      </c>
    </row>
    <row r="110" spans="1:36" x14ac:dyDescent="0.25">
      <c r="B110" s="63"/>
      <c r="C110" s="63"/>
      <c r="D110" s="63" t="s">
        <v>218</v>
      </c>
      <c r="E110" s="63" t="s">
        <v>217</v>
      </c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>
        <f t="shared" si="6"/>
        <v>1.8658536585365857</v>
      </c>
      <c r="X110" s="124"/>
      <c r="Y110" s="124"/>
      <c r="Z110" s="124"/>
      <c r="AA110" s="124"/>
      <c r="AB110" s="124"/>
      <c r="AF110">
        <f t="shared" si="7"/>
        <v>2.0909090909090904</v>
      </c>
      <c r="AI110">
        <f t="shared" si="8"/>
        <v>2</v>
      </c>
    </row>
    <row r="111" spans="1:36" x14ac:dyDescent="0.25">
      <c r="B111" t="str">
        <f>A67</f>
        <v xml:space="preserve">Dose_Dermal </v>
      </c>
      <c r="D111" s="52">
        <f>H68</f>
        <v>1.7694534860491201E-6</v>
      </c>
      <c r="E111" s="52">
        <f>J68</f>
        <v>3.8323559413192578E-6</v>
      </c>
      <c r="F111" s="52">
        <f>D111/$C$58</f>
        <v>0.50555813887117718</v>
      </c>
      <c r="G111" s="155">
        <f>D111/$C$58</f>
        <v>0.50555813887117718</v>
      </c>
      <c r="H111" s="126">
        <f>'HI Calcs_Org'!F110/'HI Calcs_Mod'!G111</f>
        <v>5.5555555555555562</v>
      </c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</row>
    <row r="112" spans="1:36" x14ac:dyDescent="0.25">
      <c r="B112" t="str">
        <f>A87</f>
        <v>DOSE_Soil_I</v>
      </c>
      <c r="D112" s="52">
        <f>H88</f>
        <v>7.6953707301690707E-6</v>
      </c>
      <c r="E112" s="207">
        <f>J88</f>
        <v>8.0479474767704412E-6</v>
      </c>
      <c r="F112" s="52">
        <f>D112/$C$58</f>
        <v>2.1986773514768774</v>
      </c>
      <c r="G112" s="155">
        <f t="shared" ref="G112" si="9">D112/$C$58</f>
        <v>2.1986773514768774</v>
      </c>
      <c r="H112" s="126">
        <f>'HI Calcs_Org'!F111/'HI Calcs_Mod'!G112</f>
        <v>17.614726280064925</v>
      </c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>
        <f>AVERAGE(W112:AI112)</f>
        <v>2.2381446134782537</v>
      </c>
      <c r="U112" s="124"/>
      <c r="V112" s="124"/>
      <c r="W112" s="124">
        <f>AVERAGE(W107:W110)</f>
        <v>2.0494904504913709</v>
      </c>
      <c r="X112" s="124"/>
      <c r="Y112" s="124"/>
      <c r="Z112" s="124"/>
      <c r="AA112" s="124"/>
      <c r="AB112" s="124"/>
      <c r="AF112" s="124">
        <f>AVERAGE(AF107:AF110)</f>
        <v>2.3958957708957707</v>
      </c>
      <c r="AI112" s="124">
        <f>AVERAGE(AI107:AI110)</f>
        <v>2.269047619047619</v>
      </c>
    </row>
    <row r="113" spans="2:49" x14ac:dyDescent="0.25">
      <c r="B113" s="63" t="str">
        <f>A97</f>
        <v>DOSE_Prod</v>
      </c>
      <c r="C113" s="63"/>
      <c r="D113" s="210">
        <f>M98</f>
        <v>1.500799999467943E-5</v>
      </c>
      <c r="E113" s="208">
        <v>0</v>
      </c>
      <c r="F113" s="52">
        <f>D113/$C$58</f>
        <v>4.2879999984798367</v>
      </c>
      <c r="G113" s="155">
        <f>D113/$C$58</f>
        <v>4.2879999984798367</v>
      </c>
      <c r="H113" s="126">
        <f>'HI Calcs_Org'!F112/'HI Calcs_Mod'!G113</f>
        <v>10.608965288967294</v>
      </c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</row>
    <row r="114" spans="2:49" x14ac:dyDescent="0.25">
      <c r="B114" t="s">
        <v>202</v>
      </c>
      <c r="D114" s="207">
        <f>SUM(D111:D113)</f>
        <v>2.447282421089762E-5</v>
      </c>
      <c r="E114" s="207">
        <f>SUM(E111:E113)</f>
        <v>1.18803034180897E-5</v>
      </c>
      <c r="G114" s="125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</row>
    <row r="115" spans="2:49" x14ac:dyDescent="0.25">
      <c r="D115" s="209"/>
      <c r="E115" s="209"/>
      <c r="G115" s="124"/>
      <c r="H115" s="124"/>
      <c r="I115" s="124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4"/>
      <c r="W115" s="124"/>
      <c r="X115" s="124"/>
      <c r="Y115" s="125"/>
      <c r="Z115" s="125"/>
      <c r="AA115" s="125"/>
      <c r="AB115" s="124"/>
    </row>
    <row r="116" spans="2:49" x14ac:dyDescent="0.25">
      <c r="B116" t="s">
        <v>215</v>
      </c>
      <c r="D116" s="211">
        <f>D114/$C$58+$G64</f>
        <v>7.9922354888278919</v>
      </c>
      <c r="E116" s="211">
        <f>E114/$C$58+$G64</f>
        <v>4.394372405168486</v>
      </c>
      <c r="G116" s="126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</row>
    <row r="117" spans="2:49" x14ac:dyDescent="0.25">
      <c r="D117" s="52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</row>
    <row r="118" spans="2:49" x14ac:dyDescent="0.25"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52"/>
      <c r="AD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U118" s="52"/>
      <c r="AV118" s="52"/>
      <c r="AW118" s="52"/>
    </row>
    <row r="119" spans="2:49" x14ac:dyDescent="0.25"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B9240-0AA6-49C2-A852-0C847E4AFE57}">
  <sheetPr codeName="Sheet4"/>
  <dimension ref="A7:A38"/>
  <sheetViews>
    <sheetView workbookViewId="0">
      <selection activeCell="B36" sqref="B36"/>
    </sheetView>
  </sheetViews>
  <sheetFormatPr defaultColWidth="8.85546875" defaultRowHeight="15" x14ac:dyDescent="0.25"/>
  <cols>
    <col min="1" max="1" width="17.5703125" customWidth="1"/>
  </cols>
  <sheetData>
    <row r="7" spans="1:1" x14ac:dyDescent="0.25">
      <c r="A7" t="s">
        <v>216</v>
      </c>
    </row>
    <row r="38" spans="1:1" x14ac:dyDescent="0.25">
      <c r="A38" t="s">
        <v>251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3EDE-920D-4FBD-91DF-0B8DDF13343F}">
  <sheetPr codeName="Sheet5"/>
  <dimension ref="C7:N55"/>
  <sheetViews>
    <sheetView topLeftCell="A4" zoomScale="130" zoomScaleNormal="130" workbookViewId="0">
      <selection activeCell="N36" sqref="N36"/>
    </sheetView>
  </sheetViews>
  <sheetFormatPr defaultRowHeight="15" x14ac:dyDescent="0.25"/>
  <cols>
    <col min="3" max="3" width="20.42578125" customWidth="1"/>
    <col min="5" max="5" width="24.7109375" customWidth="1"/>
    <col min="12" max="12" width="28.140625" customWidth="1"/>
    <col min="13" max="13" width="23.140625" customWidth="1"/>
    <col min="14" max="14" width="15.42578125" customWidth="1"/>
  </cols>
  <sheetData>
    <row r="7" spans="3:13" ht="75.75" thickBot="1" x14ac:dyDescent="0.3">
      <c r="C7" s="114" t="s">
        <v>219</v>
      </c>
      <c r="D7" s="115" t="s">
        <v>220</v>
      </c>
      <c r="E7" s="115" t="s">
        <v>221</v>
      </c>
      <c r="F7" s="115" t="s">
        <v>222</v>
      </c>
      <c r="G7" s="115" t="s">
        <v>223</v>
      </c>
      <c r="H7" s="115" t="s">
        <v>224</v>
      </c>
      <c r="I7" s="115" t="s">
        <v>225</v>
      </c>
    </row>
    <row r="8" spans="3:13" ht="17.25" thickTop="1" x14ac:dyDescent="0.3">
      <c r="C8" s="116" t="s">
        <v>88</v>
      </c>
      <c r="D8" s="117"/>
      <c r="E8" s="117"/>
      <c r="F8" s="118">
        <v>9.6999999999999993</v>
      </c>
      <c r="G8" s="118">
        <v>4.5</v>
      </c>
      <c r="H8" s="118">
        <v>88</v>
      </c>
      <c r="I8" s="118">
        <v>28</v>
      </c>
    </row>
    <row r="9" spans="3:13" ht="16.5" x14ac:dyDescent="0.3">
      <c r="C9" s="116" t="s">
        <v>90</v>
      </c>
      <c r="D9" s="117"/>
      <c r="E9" s="117"/>
      <c r="F9" s="118">
        <v>1</v>
      </c>
      <c r="G9" s="118">
        <v>1</v>
      </c>
      <c r="H9" s="118">
        <v>2</v>
      </c>
      <c r="I9" s="118">
        <v>1.2</v>
      </c>
    </row>
    <row r="10" spans="3:13" ht="15.75" thickBot="1" x14ac:dyDescent="0.3">
      <c r="C10" s="114" t="s">
        <v>226</v>
      </c>
      <c r="D10" s="119">
        <v>1.7</v>
      </c>
      <c r="E10" s="119">
        <v>4.2</v>
      </c>
      <c r="F10" s="119">
        <v>1.6</v>
      </c>
      <c r="G10" s="119">
        <v>1</v>
      </c>
      <c r="H10" s="119">
        <v>2.4</v>
      </c>
      <c r="I10" s="119">
        <v>1</v>
      </c>
    </row>
    <row r="11" spans="3:13" ht="15.75" thickTop="1" x14ac:dyDescent="0.25"/>
    <row r="13" spans="3:13" ht="15.75" thickBot="1" x14ac:dyDescent="0.3">
      <c r="C13" s="120" t="s">
        <v>282</v>
      </c>
      <c r="D13" s="120"/>
      <c r="E13" s="120"/>
      <c r="F13" s="120"/>
      <c r="G13" s="120"/>
      <c r="H13" s="120"/>
      <c r="I13" s="120"/>
    </row>
    <row r="14" spans="3:13" ht="15.75" thickTop="1" x14ac:dyDescent="0.25">
      <c r="C14" t="str">
        <f>C8</f>
        <v>Arsenic</v>
      </c>
      <c r="D14" s="1"/>
      <c r="E14" s="1"/>
      <c r="F14" s="109">
        <f t="shared" ref="F14:G16" si="0">1+(F8-1)*$M$14</f>
        <v>2.5659999999999998</v>
      </c>
      <c r="G14" s="109">
        <f t="shared" si="0"/>
        <v>1.63</v>
      </c>
      <c r="H14" s="109">
        <f>'HI Calcs_Mod'!D116</f>
        <v>7.9922354888278919</v>
      </c>
      <c r="I14" s="109">
        <f>'HI Calcs_Mod'!E116</f>
        <v>4.394372405168486</v>
      </c>
      <c r="M14">
        <f>'HI Calcs_Mod'!G18/0.02</f>
        <v>0.18</v>
      </c>
    </row>
    <row r="15" spans="3:13" x14ac:dyDescent="0.25">
      <c r="C15" t="str">
        <f>C9</f>
        <v>Cadmium</v>
      </c>
      <c r="D15" s="1"/>
      <c r="E15" s="1"/>
      <c r="F15" s="110">
        <f t="shared" si="0"/>
        <v>1</v>
      </c>
      <c r="G15" s="110">
        <f t="shared" si="0"/>
        <v>1</v>
      </c>
      <c r="H15" s="109">
        <f>1+(H9-1)*$M$14</f>
        <v>1.18</v>
      </c>
      <c r="I15" s="109">
        <f>1+(I9-1)*$M$14</f>
        <v>1.036</v>
      </c>
    </row>
    <row r="16" spans="3:13" ht="15.75" thickBot="1" x14ac:dyDescent="0.3">
      <c r="C16" s="120" t="str">
        <f>C10</f>
        <v>Chromium VI</v>
      </c>
      <c r="D16" s="121">
        <f>D10</f>
        <v>1.7</v>
      </c>
      <c r="E16" s="121">
        <f t="shared" ref="E16" si="1">E10</f>
        <v>4.2</v>
      </c>
      <c r="F16" s="122">
        <f t="shared" si="0"/>
        <v>1.1080000000000001</v>
      </c>
      <c r="G16" s="143">
        <f t="shared" si="0"/>
        <v>1</v>
      </c>
      <c r="H16" s="122">
        <f>1+(H10-1)*$M$14</f>
        <v>1.252</v>
      </c>
      <c r="I16" s="122">
        <f>1+(I10-1)*$M$14</f>
        <v>1</v>
      </c>
    </row>
    <row r="17" spans="3:9" ht="15.75" thickTop="1" x14ac:dyDescent="0.25">
      <c r="C17" s="23"/>
      <c r="D17" s="18"/>
      <c r="E17" s="18"/>
      <c r="F17" s="176"/>
      <c r="G17" s="177"/>
      <c r="H17" s="176"/>
      <c r="I17" s="176"/>
    </row>
    <row r="18" spans="3:9" x14ac:dyDescent="0.25">
      <c r="C18" s="23"/>
      <c r="D18" s="23"/>
      <c r="E18" s="23"/>
      <c r="F18" s="23"/>
      <c r="G18" s="23"/>
      <c r="H18" s="23"/>
      <c r="I18" s="23"/>
    </row>
    <row r="19" spans="3:9" x14ac:dyDescent="0.25">
      <c r="C19" s="23"/>
      <c r="D19" s="18"/>
      <c r="E19" s="18"/>
      <c r="F19" s="176"/>
      <c r="G19" s="176"/>
      <c r="H19" s="176"/>
      <c r="I19" s="176"/>
    </row>
    <row r="20" spans="3:9" x14ac:dyDescent="0.25">
      <c r="C20" s="23"/>
      <c r="D20" s="18"/>
      <c r="E20" s="18"/>
      <c r="F20" s="177"/>
      <c r="G20" s="177"/>
      <c r="H20" s="176"/>
      <c r="I20" s="176"/>
    </row>
    <row r="21" spans="3:9" x14ac:dyDescent="0.25">
      <c r="C21" s="23"/>
      <c r="D21" s="18"/>
      <c r="E21" s="18"/>
      <c r="F21" s="176"/>
      <c r="G21" s="177"/>
      <c r="H21" s="176"/>
      <c r="I21" s="176"/>
    </row>
    <row r="22" spans="3:9" x14ac:dyDescent="0.25">
      <c r="C22" s="23"/>
      <c r="D22" s="18"/>
      <c r="E22" s="18"/>
      <c r="F22" s="176"/>
      <c r="G22" s="177"/>
      <c r="H22" s="176"/>
      <c r="I22" s="176"/>
    </row>
    <row r="23" spans="3:9" x14ac:dyDescent="0.25">
      <c r="C23" s="23"/>
      <c r="D23" s="18"/>
      <c r="E23" s="18"/>
      <c r="F23" s="176"/>
      <c r="G23" s="177"/>
      <c r="H23" s="176"/>
      <c r="I23" s="176"/>
    </row>
    <row r="24" spans="3:9" ht="15.75" thickBot="1" x14ac:dyDescent="0.3"/>
    <row r="25" spans="3:9" ht="76.5" thickTop="1" thickBot="1" x14ac:dyDescent="0.3">
      <c r="C25" s="23"/>
      <c r="D25" s="182"/>
      <c r="E25" s="182"/>
      <c r="F25" s="183" t="s">
        <v>222</v>
      </c>
      <c r="G25" s="183" t="s">
        <v>223</v>
      </c>
      <c r="H25" s="183" t="s">
        <v>224</v>
      </c>
      <c r="I25" s="183" t="s">
        <v>225</v>
      </c>
    </row>
    <row r="26" spans="3:9" ht="15.75" thickTop="1" x14ac:dyDescent="0.25">
      <c r="C26" s="23"/>
      <c r="D26" t="s">
        <v>88</v>
      </c>
      <c r="E26" s="10" t="s">
        <v>257</v>
      </c>
      <c r="F26">
        <f>F8</f>
        <v>9.6999999999999993</v>
      </c>
      <c r="G26">
        <f>G8</f>
        <v>4.5</v>
      </c>
      <c r="H26">
        <f>H8</f>
        <v>88</v>
      </c>
      <c r="I26">
        <f>I8</f>
        <v>28</v>
      </c>
    </row>
    <row r="27" spans="3:9" x14ac:dyDescent="0.25">
      <c r="C27" s="23"/>
      <c r="E27" s="10" t="s">
        <v>261</v>
      </c>
      <c r="F27" s="175">
        <f>F14</f>
        <v>2.5659999999999998</v>
      </c>
      <c r="G27" s="175">
        <f>G14</f>
        <v>1.63</v>
      </c>
      <c r="H27" s="175">
        <f>H14</f>
        <v>7.9922354888278919</v>
      </c>
      <c r="I27" s="175">
        <f>I14</f>
        <v>4.394372405168486</v>
      </c>
    </row>
    <row r="28" spans="3:9" x14ac:dyDescent="0.25">
      <c r="D28" s="63"/>
      <c r="E28" s="178" t="s">
        <v>260</v>
      </c>
      <c r="F28" s="179">
        <f>F19</f>
        <v>0</v>
      </c>
      <c r="G28" s="179">
        <f>G19</f>
        <v>0</v>
      </c>
      <c r="H28" s="179">
        <f>H19</f>
        <v>0</v>
      </c>
      <c r="I28" s="179">
        <f>I19</f>
        <v>0</v>
      </c>
    </row>
    <row r="29" spans="3:9" x14ac:dyDescent="0.25">
      <c r="D29" t="s">
        <v>90</v>
      </c>
      <c r="E29" s="10" t="s">
        <v>257</v>
      </c>
      <c r="F29" s="175">
        <f>F9</f>
        <v>1</v>
      </c>
      <c r="G29" s="175">
        <f>G9</f>
        <v>1</v>
      </c>
      <c r="H29" s="175">
        <f>H9</f>
        <v>2</v>
      </c>
      <c r="I29" s="175">
        <f>I9</f>
        <v>1.2</v>
      </c>
    </row>
    <row r="30" spans="3:9" x14ac:dyDescent="0.25">
      <c r="D30" s="63"/>
      <c r="E30" s="178" t="s">
        <v>261</v>
      </c>
      <c r="F30" s="179">
        <f>F15</f>
        <v>1</v>
      </c>
      <c r="G30" s="179">
        <f>G15</f>
        <v>1</v>
      </c>
      <c r="H30" s="179">
        <f>H15</f>
        <v>1.18</v>
      </c>
      <c r="I30" s="179">
        <f>I15</f>
        <v>1.036</v>
      </c>
    </row>
    <row r="31" spans="3:9" x14ac:dyDescent="0.25">
      <c r="D31" t="s">
        <v>226</v>
      </c>
      <c r="E31" s="10" t="s">
        <v>257</v>
      </c>
      <c r="F31">
        <f>F10</f>
        <v>1.6</v>
      </c>
      <c r="G31">
        <f>G10</f>
        <v>1</v>
      </c>
      <c r="H31">
        <f>H10</f>
        <v>2.4</v>
      </c>
      <c r="I31">
        <f>I10</f>
        <v>1</v>
      </c>
    </row>
    <row r="32" spans="3:9" ht="15.75" thickBot="1" x14ac:dyDescent="0.3">
      <c r="D32" s="120"/>
      <c r="E32" s="180" t="s">
        <v>261</v>
      </c>
      <c r="F32" s="181">
        <f>F16</f>
        <v>1.1080000000000001</v>
      </c>
      <c r="G32" s="181">
        <f>G16</f>
        <v>1</v>
      </c>
      <c r="H32" s="181">
        <f>H16</f>
        <v>1.252</v>
      </c>
      <c r="I32" s="181">
        <f>I16</f>
        <v>1</v>
      </c>
    </row>
    <row r="33" spans="12:14" ht="16.5" thickTop="1" thickBot="1" x14ac:dyDescent="0.3">
      <c r="L33" s="182" t="s">
        <v>280</v>
      </c>
      <c r="M33" s="197" t="s">
        <v>270</v>
      </c>
      <c r="N33" s="197" t="s">
        <v>271</v>
      </c>
    </row>
    <row r="34" spans="12:14" ht="15.75" thickTop="1" x14ac:dyDescent="0.25">
      <c r="L34" t="s">
        <v>272</v>
      </c>
      <c r="M34" s="1" t="s">
        <v>273</v>
      </c>
    </row>
    <row r="35" spans="12:14" x14ac:dyDescent="0.25">
      <c r="L35" s="10" t="s">
        <v>263</v>
      </c>
      <c r="M35" s="1">
        <v>0.02</v>
      </c>
    </row>
    <row r="36" spans="12:14" x14ac:dyDescent="0.25">
      <c r="L36" s="178" t="s">
        <v>261</v>
      </c>
      <c r="M36" s="167">
        <f>'HI Calcs_Mod'!G18</f>
        <v>3.5999999999999999E-3</v>
      </c>
      <c r="N36" s="184">
        <f>M35/M36</f>
        <v>5.5555555555555562</v>
      </c>
    </row>
    <row r="37" spans="12:14" x14ac:dyDescent="0.25">
      <c r="L37" t="s">
        <v>268</v>
      </c>
      <c r="M37" s="1" t="s">
        <v>269</v>
      </c>
    </row>
    <row r="38" spans="12:14" x14ac:dyDescent="0.25">
      <c r="L38" s="10" t="s">
        <v>263</v>
      </c>
      <c r="M38" s="1">
        <v>1</v>
      </c>
    </row>
    <row r="39" spans="12:14" x14ac:dyDescent="0.25">
      <c r="L39" s="178" t="s">
        <v>261</v>
      </c>
      <c r="M39" s="167">
        <v>0.6</v>
      </c>
      <c r="N39" s="184">
        <f>M38/M39</f>
        <v>1.6666666666666667</v>
      </c>
    </row>
    <row r="40" spans="12:14" x14ac:dyDescent="0.25">
      <c r="L40" t="s">
        <v>95</v>
      </c>
      <c r="M40" s="1" t="s">
        <v>262</v>
      </c>
    </row>
    <row r="41" spans="12:14" x14ac:dyDescent="0.25">
      <c r="L41" s="10" t="s">
        <v>263</v>
      </c>
      <c r="M41" s="1">
        <v>5.46</v>
      </c>
    </row>
    <row r="42" spans="12:14" x14ac:dyDescent="0.25">
      <c r="L42" s="178" t="s">
        <v>261</v>
      </c>
      <c r="M42" s="191">
        <f>'HI Calcs_Mod'!O88</f>
        <v>2.8685714285714288</v>
      </c>
      <c r="N42" s="184">
        <f>M41/M42</f>
        <v>1.9033864541832668</v>
      </c>
    </row>
    <row r="43" spans="12:14" x14ac:dyDescent="0.25">
      <c r="L43" t="s">
        <v>264</v>
      </c>
      <c r="M43" s="1" t="s">
        <v>265</v>
      </c>
    </row>
    <row r="44" spans="12:14" ht="30" x14ac:dyDescent="0.25">
      <c r="L44" s="10" t="s">
        <v>266</v>
      </c>
      <c r="M44" s="185" t="s">
        <v>267</v>
      </c>
    </row>
    <row r="45" spans="12:14" ht="30.75" thickBot="1" x14ac:dyDescent="0.3">
      <c r="L45" s="187" t="s">
        <v>274</v>
      </c>
      <c r="M45" s="186" t="s">
        <v>267</v>
      </c>
      <c r="N45" s="121" t="s">
        <v>275</v>
      </c>
    </row>
    <row r="46" spans="12:14" ht="15.75" thickTop="1" x14ac:dyDescent="0.25">
      <c r="L46" s="190" t="s">
        <v>277</v>
      </c>
      <c r="M46" s="1" t="s">
        <v>281</v>
      </c>
      <c r="N46" s="176"/>
    </row>
    <row r="47" spans="12:14" x14ac:dyDescent="0.25">
      <c r="L47" s="10" t="s">
        <v>263</v>
      </c>
      <c r="M47" s="189">
        <f>'HI Calcs_Org'!F110</f>
        <v>2.8086563270620957</v>
      </c>
    </row>
    <row r="48" spans="12:14" x14ac:dyDescent="0.25">
      <c r="L48" s="178" t="s">
        <v>261</v>
      </c>
      <c r="M48" s="191">
        <f>'HI Calcs_Mod'!F111</f>
        <v>0.50555813887117718</v>
      </c>
      <c r="N48" s="184">
        <f>M47/M48</f>
        <v>5.5555555555555562</v>
      </c>
    </row>
    <row r="49" spans="12:14" x14ac:dyDescent="0.25">
      <c r="L49" s="190" t="s">
        <v>278</v>
      </c>
      <c r="M49" s="1" t="s">
        <v>281</v>
      </c>
      <c r="N49" s="176"/>
    </row>
    <row r="50" spans="12:14" x14ac:dyDescent="0.25">
      <c r="L50" s="188" t="s">
        <v>263</v>
      </c>
      <c r="M50" s="189">
        <f>'HI Calcs_Org'!F111</f>
        <v>38.729099724443302</v>
      </c>
      <c r="N50" s="23"/>
    </row>
    <row r="51" spans="12:14" x14ac:dyDescent="0.25">
      <c r="L51" s="178" t="s">
        <v>261</v>
      </c>
      <c r="M51" s="191">
        <f>'HI Calcs_Mod'!F112</f>
        <v>2.1986773514768774</v>
      </c>
      <c r="N51" s="184">
        <f>M50/M51</f>
        <v>17.614726280064925</v>
      </c>
    </row>
    <row r="52" spans="12:14" x14ac:dyDescent="0.25">
      <c r="L52" s="190" t="s">
        <v>279</v>
      </c>
      <c r="M52" s="1" t="s">
        <v>281</v>
      </c>
      <c r="N52" s="176"/>
    </row>
    <row r="53" spans="12:14" x14ac:dyDescent="0.25">
      <c r="L53" s="10" t="s">
        <v>263</v>
      </c>
      <c r="M53" s="189">
        <f>'HI Calcs_Org'!F112</f>
        <v>45.4912431429644</v>
      </c>
      <c r="N53" s="176"/>
    </row>
    <row r="54" spans="12:14" ht="15.75" thickBot="1" x14ac:dyDescent="0.3">
      <c r="L54" s="180" t="s">
        <v>261</v>
      </c>
      <c r="M54" s="192">
        <f>'HI Calcs_Mod'!F113</f>
        <v>4.2879999984798367</v>
      </c>
      <c r="N54" s="122">
        <f>M53/M54</f>
        <v>10.608965288967294</v>
      </c>
    </row>
    <row r="55" spans="12:14" ht="15.75" thickTop="1" x14ac:dyDescent="0.2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Owens Brockway</Facil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3342C9-FE19-4E18-9935-4B2E1401E1AD}"/>
</file>

<file path=customXml/itemProps2.xml><?xml version="1.0" encoding="utf-8"?>
<ds:datastoreItem xmlns:ds="http://schemas.openxmlformats.org/officeDocument/2006/customXml" ds:itemID="{9B887DCD-B320-4445-9B2C-3871D600FD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7767F3-6319-4B1C-AF89-D251F2CA3146}">
  <ds:schemaRefs>
    <ds:schemaRef ds:uri="8541bfc5-0d79-4b44-a059-6a09fcdbcdd4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ca4e3d54-72b8-4388-8794-129dba53390e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HARP PEPD</vt:lpstr>
      <vt:lpstr>HI Calcs_Org</vt:lpstr>
      <vt:lpstr>HI Calcs_Mod</vt:lpstr>
      <vt:lpstr>Table 13-68</vt:lpstr>
      <vt:lpstr>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Kent</dc:creator>
  <cp:lastModifiedBy>Dixon Holly  M</cp:lastModifiedBy>
  <dcterms:created xsi:type="dcterms:W3CDTF">2017-03-10T22:55:47Z</dcterms:created>
  <dcterms:modified xsi:type="dcterms:W3CDTF">2022-02-24T22:55:16Z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