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3.xml" ContentType="application/vnd.openxmlformats-officedocument.spreadsheetml.pivotTab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9.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0.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1.xml" ContentType="application/vnd.openxmlformats-officedocument.drawingml.chartshapes+xml"/>
  <Override PartName="/xl/pivotTables/pivotTable8.xml" ContentType="application/vnd.openxmlformats-officedocument.spreadsheetml.pivotTable+xml"/>
  <Override PartName="/xl/drawings/drawing12.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ml.chartshape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ml.chartshapes+xml"/>
  <Override PartName="/xl/charts/chart22.xml" ContentType="application/vnd.openxmlformats-officedocument.drawingml.chart+xml"/>
  <Override PartName="/xl/drawings/drawing19.xml" ContentType="application/vnd.openxmlformats-officedocument.drawingml.chartshapes+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ml.chartshapes+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ml.chartshapes+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ml.chartshapes+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3.xml" ContentType="application/vnd.openxmlformats-officedocument.drawingml.chartshapes+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4.xml" ContentType="application/vnd.openxmlformats-officedocument.drawingml.chartshapes+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5.xml" ContentType="application/vnd.openxmlformats-officedocument.drawingml.chartshapes+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6.xml" ContentType="application/vnd.openxmlformats-officedocument.drawingml.chartshapes+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7.xml" ContentType="application/vnd.openxmlformats-officedocument.drawingml.chartshapes+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8.xml" ContentType="application/vnd.openxmlformats-officedocument.drawingml.chartshapes+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mc:AlternateContent xmlns:mc="http://schemas.openxmlformats.org/markup-compatibility/2006">
    <mc:Choice Requires="x15">
      <x15ac:absPath xmlns:x15ac="http://schemas.microsoft.com/office/spreadsheetml/2010/11/ac" url="U:\Clean Fuels\2026 Forecast\"/>
    </mc:Choice>
  </mc:AlternateContent>
  <xr:revisionPtr revIDLastSave="0" documentId="13_ncr:1_{9BDF5F9D-AD2B-42D0-BB6E-1A131A5F5FC7}" xr6:coauthVersionLast="47" xr6:coauthVersionMax="47" xr10:uidLastSave="{00000000-0000-0000-0000-000000000000}"/>
  <bookViews>
    <workbookView xWindow="-96" yWindow="0" windowWidth="11712" windowHeight="13776" tabRatio="749" firstSheet="2" activeTab="3" xr2:uid="{00000000-000D-0000-FFFF-FFFF00000000}"/>
  </bookViews>
  <sheets>
    <sheet name="Intro" sheetId="30" r:id="rId1"/>
    <sheet name="Forecast_Main" sheetId="13" r:id="rId2"/>
    <sheet name="Table 1 - Volumes" sheetId="19" r:id="rId3"/>
    <sheet name="Table 3+4 - Credit" sheetId="26" r:id="rId4"/>
    <sheet name="CI Trend" sheetId="29" r:id="rId5"/>
    <sheet name="CI Facility" sheetId="23" r:id="rId6"/>
    <sheet name="Electric Vehicles" sheetId="9" r:id="rId7"/>
    <sheet name="AEO Pacific" sheetId="16" r:id="rId8"/>
    <sheet name="AEO Renewable" sheetId="18" r:id="rId9"/>
    <sheet name="Constants Pivot" sheetId="22" r:id="rId10"/>
    <sheet name="Constants_out" sheetId="25" r:id="rId11"/>
    <sheet name="Growth Rate Tables" sheetId="17" r:id="rId12"/>
    <sheet name="Charts" sheetId="28" r:id="rId13"/>
  </sheets>
  <externalReferences>
    <externalReference r:id="rId14"/>
  </externalReferences>
  <definedNames>
    <definedName name="BR_bgs_T0">'Constants Pivot'!$C$42</definedName>
    <definedName name="BR_bgs_T1">'Constants Pivot'!$D$42</definedName>
    <definedName name="BR_bgs_T2">'Constants Pivot'!$F$42</definedName>
    <definedName name="BR_bio_T0">'Constants Pivot'!$C$41</definedName>
    <definedName name="BR_bio_T1">'Constants Pivot'!$D$41</definedName>
    <definedName name="BR_bio_T2">'Constants Pivot'!$F$41</definedName>
    <definedName name="BR_eth_T0">'Constants Pivot'!$C$40</definedName>
    <definedName name="BR_eth_T1">'Constants Pivot'!$D$40</definedName>
    <definedName name="BR_eth_T2">'Constants Pivot'!$F$40</definedName>
    <definedName name="BR_lp_T0">'Constants Pivot'!$C$44</definedName>
    <definedName name="BR_lp_T1">'Constants Pivot'!$D$44</definedName>
    <definedName name="BR_lp_T2">'Constants Pivot'!$F$44</definedName>
    <definedName name="BR_ren_T0">'Constants Pivot'!$C$43</definedName>
    <definedName name="BR_ren_T1">'Constants Pivot'!$D$43</definedName>
    <definedName name="BR_ren_T2">'Constants Pivot'!$F$43</definedName>
    <definedName name="CFP_TB_HOLD_constants">Constants_out!$A$1:$E$54</definedName>
    <definedName name="CIA_bgs_T0">'Constants Pivot'!$C$26</definedName>
    <definedName name="CIA_bgs_T1">'Constants Pivot'!$D$26</definedName>
    <definedName name="CIA_bgs_T2">'Constants Pivot'!$F$26</definedName>
    <definedName name="CIA_bio_T0">'Constants Pivot'!$C$25</definedName>
    <definedName name="CIA_Bio_T1">'Constants Pivot'!$D$25</definedName>
    <definedName name="CIA_bio_T2">'Constants Pivot'!$F$25</definedName>
    <definedName name="CIA_cbob_T0">'Constants Pivot'!$C$31</definedName>
    <definedName name="CIA_cbob_T1">'Constants Pivot'!$E$31</definedName>
    <definedName name="CIA_cbob_T2">'Constants Pivot'!$G$31</definedName>
    <definedName name="CIA_die_T0">'Constants Pivot'!$C$24</definedName>
    <definedName name="CIA_die_T1">'Constants Pivot'!$E$24</definedName>
    <definedName name="CIA_die_T2">'Constants Pivot'!$G$24</definedName>
    <definedName name="CIA_E10_T0">'Constants Pivot'!$C$22</definedName>
    <definedName name="CIA_E10_T1">'Constants Pivot'!$E$22</definedName>
    <definedName name="CIA_E10_T2">'Constants Pivot'!$G$22</definedName>
    <definedName name="CIA_eon_T0">'Constants Pivot'!$C$28</definedName>
    <definedName name="CIA_eon_T1">'Constants Pivot'!$E$28</definedName>
    <definedName name="CIA_eon_T2">'Constants Pivot'!$G$28</definedName>
    <definedName name="CIA_Eth_T0">'Constants Pivot'!$C$23</definedName>
    <definedName name="CIA_eth_T1">'Constants Pivot'!$D$23</definedName>
    <definedName name="CIA_eth_T2">'Constants Pivot'!$F$23</definedName>
    <definedName name="CIA_fcg_T0">'Constants Pivot'!$C$29</definedName>
    <definedName name="CIA_fcg_T1">'Constants Pivot'!$E$29</definedName>
    <definedName name="CIA_fcg_T2">'Constants Pivot'!$G$29</definedName>
    <definedName name="CIA_gas_T0">'Constants Pivot'!$C$21</definedName>
    <definedName name="CIA_gas_T1">'Constants Pivot'!$E$21</definedName>
    <definedName name="CIA_gas_T2">'Constants Pivot'!$G$21</definedName>
    <definedName name="CIA_lp_T0">'Constants Pivot'!$C$30</definedName>
    <definedName name="CIA_lp_T1">'Constants Pivot'!$E$30</definedName>
    <definedName name="CIA_lp_T2">'Constants Pivot'!$G$30</definedName>
    <definedName name="CIA_ren_T0">'Constants Pivot'!$C$27</definedName>
    <definedName name="CIA_ren_T1">'Constants Pivot'!$D$27</definedName>
    <definedName name="CIA_ren_T2">'Constants Pivot'!$F$27</definedName>
    <definedName name="CIT_die_T0">'Constants Pivot'!$C$19</definedName>
    <definedName name="CIT_die_T1">'Constants Pivot'!$E$19</definedName>
    <definedName name="CIT_die_T2">'Constants Pivot'!$G$19</definedName>
    <definedName name="CIT_gas_T0">'Constants Pivot'!$C$18</definedName>
    <definedName name="CIT_gas_T1">'Constants Pivot'!$E$18</definedName>
    <definedName name="CIT_gas_T2">'Constants Pivot'!$G$18</definedName>
    <definedName name="CIT_jf_T0">'Constants Pivot'!$C$20</definedName>
    <definedName name="CIT_jf_T1">'Constants Pivot'!$E$20</definedName>
    <definedName name="CIT_jf_T2">'Constants Pivot'!$G$20</definedName>
    <definedName name="constants_data_out">Constants_out!$A$1:$E$54</definedName>
    <definedName name="ED_Bio_T0">'Constants Pivot'!$C$10</definedName>
    <definedName name="ED_bio_T1">'Constants Pivot'!$E$10</definedName>
    <definedName name="ED_bio_T2">'Constants Pivot'!$G$10</definedName>
    <definedName name="ED_die_T0">'Constants Pivot'!$C$9</definedName>
    <definedName name="ED_die_T1">'Constants Pivot'!$E$9</definedName>
    <definedName name="ED_die_T2">'Constants Pivot'!$G$9</definedName>
    <definedName name="ED_E10_T0">'Constants Pivot'!$C$7</definedName>
    <definedName name="ED_E10_T1">'Constants Pivot'!$E$7</definedName>
    <definedName name="ED_E10_T2">'Constants Pivot'!$G$7</definedName>
    <definedName name="ED_eon_T0">'Constants Pivot'!$C$12</definedName>
    <definedName name="ED_eon_T1">'Constants Pivot'!$E$12</definedName>
    <definedName name="ED_eon_T2">'Constants Pivot'!$G$12</definedName>
    <definedName name="ED_eth_T0">'Constants Pivot'!$C$8</definedName>
    <definedName name="ED_eth_T1">'Constants Pivot'!$E$8</definedName>
    <definedName name="ED_eth_T2">'Constants Pivot'!$G$8</definedName>
    <definedName name="ED_fcg_T0">'Constants Pivot'!$C$13</definedName>
    <definedName name="ED_fcg_T1">'Constants Pivot'!$E$13</definedName>
    <definedName name="ED_fcg_T2">'Constants Pivot'!$G$13</definedName>
    <definedName name="ED_flg_T0">'Constants Pivot'!$C$14</definedName>
    <definedName name="ED_flg_T1">'Constants Pivot'!$E$14</definedName>
    <definedName name="ED_flg_T2">'Constants Pivot'!$G$14</definedName>
    <definedName name="ED_gas_2018">'Constants Pivot'!$H$6</definedName>
    <definedName name="ED_gas_T0">'Constants Pivot'!$C$6</definedName>
    <definedName name="ED_gas_T1">'Constants Pivot'!$E$6</definedName>
    <definedName name="ED_gas_T2">'Constants Pivot'!$G$6</definedName>
    <definedName name="ED_hyd_T0">'Constants Pivot'!$C$16</definedName>
    <definedName name="ED_hyd_T1">'Constants Pivot'!$E$16</definedName>
    <definedName name="ED_hyd_T2">'Constants Pivot'!$G$16</definedName>
    <definedName name="ED_jf_T0">'Constants Pivot'!$C$17</definedName>
    <definedName name="ED_jf_T1">'Constants Pivot'!$E$17</definedName>
    <definedName name="ED_jf_T2">'Constants Pivot'!$G$17</definedName>
    <definedName name="ED_lp_T0">'Constants Pivot'!$C$15</definedName>
    <definedName name="ED_lp_T1">'Constants Pivot'!$E$15</definedName>
    <definedName name="ED_lp_T2">'Constants Pivot'!$G$15</definedName>
    <definedName name="ED_ren_T0">'Constants Pivot'!$C$11</definedName>
    <definedName name="ED_ren_T1">'Constants Pivot'!$E$11</definedName>
    <definedName name="ED_ren_T2">'Constants Pivot'!$G$11</definedName>
    <definedName name="EEReon_T0">'Constants Pivot'!$C$33</definedName>
    <definedName name="EEReon_T1">'Constants Pivot'!$E$33</definedName>
    <definedName name="EEReon_T2">'Constants Pivot'!$G$33</definedName>
    <definedName name="EERng_T0">'Constants Pivot'!$C$34</definedName>
    <definedName name="EERng_T1">'Constants Pivot'!$E$34</definedName>
    <definedName name="EERng_T2">'Constants Pivot'!$G$34</definedName>
    <definedName name="GR_die_T0">'Constants Pivot'!$C$36</definedName>
    <definedName name="GR_die_T1">'Constants Pivot'!$D$36</definedName>
    <definedName name="GR_die_T2">'Constants Pivot'!$F$36</definedName>
    <definedName name="GR_eof_T0">'Constants Pivot'!$C$38</definedName>
    <definedName name="GR_eof_T1">'Constants Pivot'!$D$38</definedName>
    <definedName name="GR_eof_T2">'Constants Pivot'!$F$38</definedName>
    <definedName name="GR_gas_T0">'Constants Pivot'!$C$35</definedName>
    <definedName name="GR_gas_T1">'Constants Pivot'!$D$35</definedName>
    <definedName name="GR_gas_T2">'Constants Pivot'!$F$35</definedName>
    <definedName name="GR_lp_T0">'Constants Pivot'!$C$37</definedName>
    <definedName name="GR_lp_T1">'Constants Pivot'!$D$37</definedName>
    <definedName name="GR_lp_T2">'Constants Pivot'!$F$37</definedName>
    <definedName name="GR_ng_T0">'Constants Pivot'!$C$39</definedName>
    <definedName name="GR_ng_T1">'Constants Pivot'!$D$39</definedName>
    <definedName name="GR_ng_T2">'Constants Pivot'!$F$39</definedName>
    <definedName name="KWh_T0">'Constants Pivot'!$C$32</definedName>
    <definedName name="KWh_T1">'Constants Pivot'!$D$32</definedName>
    <definedName name="KWh_T2">'Constants Pivot'!$F$32</definedName>
  </definedNames>
  <calcPr calcId="191028"/>
  <pivotCaches>
    <pivotCache cacheId="6" r:id="rId15"/>
    <pivotCache cacheId="7" r:id="rId16"/>
    <pivotCache cacheId="8"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96" i="13" l="1"/>
  <c r="K5" i="19"/>
  <c r="H85" i="29"/>
  <c r="H77" i="29"/>
  <c r="H73" i="29"/>
  <c r="H69" i="29"/>
  <c r="H84" i="29"/>
  <c r="H80" i="29"/>
  <c r="H76" i="29"/>
  <c r="H72" i="29"/>
  <c r="H68" i="29"/>
  <c r="AR127" i="13"/>
  <c r="AR128" i="13"/>
  <c r="AR129" i="13"/>
  <c r="AR130" i="13"/>
  <c r="AR119" i="13"/>
  <c r="AR121" i="13" s="1"/>
  <c r="AR120" i="13"/>
  <c r="AR123" i="13"/>
  <c r="AR124" i="13"/>
  <c r="AR125" i="13"/>
  <c r="AR137" i="13"/>
  <c r="AR159" i="13" s="1"/>
  <c r="AR138" i="13"/>
  <c r="AR139" i="13"/>
  <c r="AR140" i="13"/>
  <c r="AR141" i="13"/>
  <c r="AR142" i="13"/>
  <c r="AR143" i="13"/>
  <c r="AR144" i="13"/>
  <c r="AR145" i="13"/>
  <c r="AR146" i="13"/>
  <c r="AR147" i="13"/>
  <c r="AR148" i="13"/>
  <c r="AR149" i="13"/>
  <c r="AR150" i="13"/>
  <c r="AR151" i="13"/>
  <c r="AR152" i="13"/>
  <c r="AR153" i="13"/>
  <c r="AR154" i="13"/>
  <c r="AR155" i="13"/>
  <c r="AR156" i="13"/>
  <c r="AR158" i="13"/>
  <c r="AR106" i="13"/>
  <c r="AR107" i="13" s="1"/>
  <c r="AR108" i="13"/>
  <c r="AR109" i="13" s="1"/>
  <c r="AR111" i="13"/>
  <c r="AR112" i="13"/>
  <c r="AR114" i="13"/>
  <c r="AR113" i="13" s="1"/>
  <c r="AR93" i="13"/>
  <c r="AR85" i="13"/>
  <c r="AR86" i="13"/>
  <c r="AR88" i="13"/>
  <c r="AR90" i="13"/>
  <c r="AR87" i="13" s="1"/>
  <c r="AR79" i="13"/>
  <c r="AR80" i="13"/>
  <c r="AR82" i="13" s="1"/>
  <c r="F17" i="17"/>
  <c r="F37" i="17"/>
  <c r="M17" i="17"/>
  <c r="L17" i="17"/>
  <c r="K17" i="17"/>
  <c r="J17" i="17"/>
  <c r="I17" i="17"/>
  <c r="H17" i="17"/>
  <c r="G17" i="17"/>
  <c r="M5" i="17"/>
  <c r="L5" i="17"/>
  <c r="K5" i="17"/>
  <c r="J5" i="17"/>
  <c r="I5" i="17"/>
  <c r="H5" i="17"/>
  <c r="G5" i="17"/>
  <c r="F5" i="17"/>
  <c r="AR105" i="13" l="1"/>
  <c r="AR115" i="13"/>
  <c r="AR91" i="13"/>
  <c r="AR89" i="13"/>
  <c r="AR81" i="13"/>
  <c r="AR83" i="13"/>
  <c r="O17" i="17"/>
  <c r="O5" i="17"/>
  <c r="M52" i="17" l="1"/>
  <c r="M46" i="17"/>
  <c r="L46" i="17"/>
  <c r="M41" i="17"/>
  <c r="M36" i="17"/>
  <c r="M28" i="17"/>
  <c r="M21" i="17"/>
  <c r="M29" i="17"/>
  <c r="M22" i="17" l="1"/>
  <c r="M16" i="17"/>
  <c r="M9" i="17"/>
  <c r="L9" i="17"/>
  <c r="M4" i="17"/>
  <c r="M19" i="29" l="1"/>
  <c r="E17" i="17" l="1"/>
  <c r="D17" i="17"/>
  <c r="M10" i="17"/>
  <c r="L10" i="17"/>
  <c r="K10" i="17"/>
  <c r="E5" i="17"/>
  <c r="D5" i="17"/>
  <c r="AQ130" i="13"/>
  <c r="AQ129" i="13"/>
  <c r="AP128" i="13"/>
  <c r="AQ127" i="13"/>
  <c r="AP127" i="13"/>
  <c r="AQ126" i="13"/>
  <c r="AP126" i="13"/>
  <c r="AP125" i="13"/>
  <c r="AQ123" i="13"/>
  <c r="AQ120" i="13"/>
  <c r="AQ119" i="13"/>
  <c r="AQ121" i="13" s="1"/>
  <c r="AP119" i="13"/>
  <c r="AQ137" i="13"/>
  <c r="AQ138" i="13"/>
  <c r="AQ139" i="13"/>
  <c r="AQ140" i="13"/>
  <c r="AQ141" i="13"/>
  <c r="AQ142" i="13"/>
  <c r="AQ143" i="13"/>
  <c r="AQ124" i="13" s="1"/>
  <c r="AQ144" i="13"/>
  <c r="AQ145" i="13"/>
  <c r="AQ125" i="13" s="1"/>
  <c r="AQ146" i="13"/>
  <c r="AQ147" i="13"/>
  <c r="AQ148" i="13"/>
  <c r="AQ149" i="13"/>
  <c r="AQ128" i="13" s="1"/>
  <c r="AQ150" i="13"/>
  <c r="AQ151" i="13"/>
  <c r="AQ152" i="13"/>
  <c r="AQ153" i="13"/>
  <c r="AQ154" i="13"/>
  <c r="AQ155" i="13"/>
  <c r="AQ156" i="13"/>
  <c r="AQ158" i="13"/>
  <c r="AQ111" i="13"/>
  <c r="AQ112" i="13"/>
  <c r="AQ106" i="13"/>
  <c r="AQ108" i="13"/>
  <c r="AQ107" i="13" s="1"/>
  <c r="AQ102" i="13"/>
  <c r="AP93" i="13"/>
  <c r="AQ93" i="13"/>
  <c r="AP94" i="13"/>
  <c r="AQ94" i="13"/>
  <c r="AQ96" i="13" s="1"/>
  <c r="AP96" i="13"/>
  <c r="AP95" i="13" s="1"/>
  <c r="AQ85" i="13"/>
  <c r="AQ86" i="13"/>
  <c r="AQ88" i="13"/>
  <c r="AQ89" i="13" s="1"/>
  <c r="AQ90" i="13"/>
  <c r="AQ87" i="13" s="1"/>
  <c r="AQ79" i="13"/>
  <c r="AQ82" i="13" s="1"/>
  <c r="AQ80" i="13"/>
  <c r="AN102" i="13"/>
  <c r="AR102" i="13" s="1"/>
  <c r="AO102" i="13"/>
  <c r="AS102" i="13" s="1"/>
  <c r="AW102" i="13" s="1"/>
  <c r="AP102" i="13"/>
  <c r="AT102" i="13" s="1"/>
  <c r="AX102" i="13" s="1"/>
  <c r="AO126" i="13"/>
  <c r="AP137" i="13"/>
  <c r="AP138" i="13"/>
  <c r="AP139" i="13"/>
  <c r="AP123" i="13" s="1"/>
  <c r="AP140" i="13"/>
  <c r="AP141" i="13"/>
  <c r="AP120" i="13" s="1"/>
  <c r="AP142" i="13"/>
  <c r="AP143" i="13"/>
  <c r="AP124" i="13" s="1"/>
  <c r="AP144" i="13"/>
  <c r="AP145" i="13"/>
  <c r="AP146" i="13"/>
  <c r="AP147" i="13"/>
  <c r="AP148" i="13"/>
  <c r="AP149" i="13"/>
  <c r="AP150" i="13"/>
  <c r="AP151" i="13"/>
  <c r="AP152" i="13"/>
  <c r="AP153" i="13"/>
  <c r="AP154" i="13"/>
  <c r="AP129" i="13" s="1"/>
  <c r="AP155" i="13"/>
  <c r="AP130" i="13" s="1"/>
  <c r="AP156" i="13"/>
  <c r="AP158" i="13"/>
  <c r="AS113" i="13"/>
  <c r="AT113" i="13"/>
  <c r="AU113" i="13"/>
  <c r="AW113" i="13"/>
  <c r="AX113" i="13"/>
  <c r="AY113" i="13"/>
  <c r="AV113" i="13"/>
  <c r="AV107" i="13"/>
  <c r="AW107" i="13"/>
  <c r="AX107" i="13"/>
  <c r="AY107" i="13"/>
  <c r="N22" i="29"/>
  <c r="N21" i="29"/>
  <c r="N20" i="29"/>
  <c r="N19" i="29"/>
  <c r="N18" i="29"/>
  <c r="M22" i="29"/>
  <c r="M21" i="29"/>
  <c r="M20" i="29"/>
  <c r="M18" i="29"/>
  <c r="Q84" i="29"/>
  <c r="P84" i="29"/>
  <c r="O84" i="29"/>
  <c r="Q80" i="29"/>
  <c r="P80" i="29"/>
  <c r="O80" i="29"/>
  <c r="Q76" i="29"/>
  <c r="P76" i="29"/>
  <c r="O76" i="29"/>
  <c r="Q72" i="29"/>
  <c r="P72" i="29"/>
  <c r="O72" i="29"/>
  <c r="Q68" i="29"/>
  <c r="P68" i="29"/>
  <c r="O68" i="29"/>
  <c r="AS89" i="13"/>
  <c r="AT89" i="13"/>
  <c r="AU89" i="13"/>
  <c r="AS87" i="13"/>
  <c r="AT87" i="13"/>
  <c r="AU87" i="13"/>
  <c r="AV87" i="13"/>
  <c r="AW87" i="13"/>
  <c r="AX87" i="13"/>
  <c r="AY87" i="13"/>
  <c r="AV89" i="13"/>
  <c r="AW89" i="13"/>
  <c r="AX89" i="13"/>
  <c r="AY89" i="13"/>
  <c r="AY91" i="13"/>
  <c r="AX91" i="13"/>
  <c r="AW91" i="13"/>
  <c r="AV91" i="13"/>
  <c r="AU91" i="13"/>
  <c r="AT91" i="13"/>
  <c r="AS91" i="13"/>
  <c r="AY83" i="13"/>
  <c r="AX83" i="13"/>
  <c r="AW83" i="13"/>
  <c r="AV83" i="13"/>
  <c r="AU83" i="13"/>
  <c r="AT83" i="13"/>
  <c r="AS83" i="13"/>
  <c r="AS81" i="13"/>
  <c r="AT81" i="13"/>
  <c r="AU81" i="13"/>
  <c r="AV81" i="13"/>
  <c r="AW81" i="13"/>
  <c r="AX81" i="13"/>
  <c r="AY81" i="13"/>
  <c r="AP111" i="13"/>
  <c r="AP112" i="13"/>
  <c r="L65" i="29" s="1"/>
  <c r="AP106" i="13"/>
  <c r="AP108" i="13"/>
  <c r="AP105" i="13" s="1"/>
  <c r="AN85" i="13"/>
  <c r="AO85" i="13"/>
  <c r="AP85" i="13"/>
  <c r="AN86" i="13"/>
  <c r="AO86" i="13"/>
  <c r="AP86" i="13"/>
  <c r="AN88" i="13"/>
  <c r="AO88" i="13"/>
  <c r="AP88" i="13"/>
  <c r="AN90" i="13"/>
  <c r="AO90" i="13"/>
  <c r="AP90" i="13"/>
  <c r="AP79" i="13"/>
  <c r="AP80" i="13"/>
  <c r="AO78" i="13"/>
  <c r="I72" i="29" l="1"/>
  <c r="K72" i="29"/>
  <c r="J72" i="29"/>
  <c r="K76" i="29"/>
  <c r="J76" i="29"/>
  <c r="I76" i="29"/>
  <c r="K80" i="29"/>
  <c r="J80" i="29"/>
  <c r="I80" i="29"/>
  <c r="K84" i="29"/>
  <c r="J84" i="29"/>
  <c r="I84" i="29"/>
  <c r="I68" i="29"/>
  <c r="J68" i="29"/>
  <c r="K68" i="29"/>
  <c r="AP131" i="13"/>
  <c r="AQ114" i="13"/>
  <c r="AV102" i="13"/>
  <c r="AP121" i="13"/>
  <c r="AP133" i="13" s="1"/>
  <c r="AQ105" i="13"/>
  <c r="AQ131" i="13"/>
  <c r="AQ133" i="13" s="1"/>
  <c r="L20" i="29"/>
  <c r="L19" i="29"/>
  <c r="AQ159" i="13"/>
  <c r="AQ95" i="13"/>
  <c r="AQ81" i="13"/>
  <c r="AP82" i="13"/>
  <c r="AP81" i="13" s="1"/>
  <c r="AP159" i="13"/>
  <c r="AT108" i="13"/>
  <c r="AX108" i="13" s="1"/>
  <c r="AX109" i="13" s="1"/>
  <c r="AP114" i="13"/>
  <c r="AP89" i="13"/>
  <c r="AN89" i="13"/>
  <c r="L22" i="29" s="1"/>
  <c r="AT90" i="13"/>
  <c r="AX90" i="13" s="1"/>
  <c r="AX88" i="13" s="1"/>
  <c r="AX125" i="13" s="1"/>
  <c r="AO89" i="13"/>
  <c r="AO87" i="13"/>
  <c r="AS90" i="13"/>
  <c r="AP87" i="13"/>
  <c r="AN87" i="13"/>
  <c r="AP107" i="13"/>
  <c r="AQ113" i="13" l="1"/>
  <c r="AW90" i="13"/>
  <c r="AW88" i="13" s="1"/>
  <c r="AW125" i="13" s="1"/>
  <c r="AV90" i="13"/>
  <c r="AV88" i="13" s="1"/>
  <c r="AX86" i="13"/>
  <c r="AX124" i="13" s="1"/>
  <c r="AP113" i="13"/>
  <c r="AX106" i="13"/>
  <c r="AX105" i="13" s="1"/>
  <c r="AX129" i="13" s="1"/>
  <c r="AV78" i="13"/>
  <c r="AW78" i="13"/>
  <c r="AX78" i="13"/>
  <c r="AY78" i="13"/>
  <c r="B54" i="25"/>
  <c r="B52" i="25"/>
  <c r="B50" i="25"/>
  <c r="B48" i="25"/>
  <c r="B46" i="25"/>
  <c r="B43" i="25"/>
  <c r="B41" i="25"/>
  <c r="B39" i="25"/>
  <c r="B37" i="25"/>
  <c r="B35" i="25"/>
  <c r="B31" i="25"/>
  <c r="B29" i="25"/>
  <c r="B27" i="25"/>
  <c r="B25" i="25"/>
  <c r="B22" i="25"/>
  <c r="B53" i="25"/>
  <c r="B51" i="25"/>
  <c r="B49" i="25"/>
  <c r="B47" i="25"/>
  <c r="B45" i="25"/>
  <c r="B44" i="25"/>
  <c r="B42" i="25"/>
  <c r="B40" i="25"/>
  <c r="B38" i="25"/>
  <c r="B36" i="25"/>
  <c r="B34" i="25"/>
  <c r="B33" i="25"/>
  <c r="B32" i="25"/>
  <c r="B30" i="25"/>
  <c r="B28" i="25"/>
  <c r="B26" i="25"/>
  <c r="B24" i="25"/>
  <c r="B23" i="25"/>
  <c r="B21" i="25"/>
  <c r="B20" i="25"/>
  <c r="B19" i="25"/>
  <c r="B18" i="25"/>
  <c r="B17" i="25"/>
  <c r="B16" i="25"/>
  <c r="B15" i="25"/>
  <c r="B14" i="25"/>
  <c r="B13" i="25"/>
  <c r="B12" i="25"/>
  <c r="B11" i="25"/>
  <c r="B10" i="25"/>
  <c r="B9" i="25"/>
  <c r="B8" i="25"/>
  <c r="B7" i="25"/>
  <c r="B6" i="25"/>
  <c r="B5" i="25"/>
  <c r="B4" i="25"/>
  <c r="B3" i="25"/>
  <c r="B2" i="25"/>
  <c r="A4" i="25"/>
  <c r="A5" i="25" s="1"/>
  <c r="A6" i="25" s="1"/>
  <c r="A7" i="25" s="1"/>
  <c r="A8" i="25" s="1"/>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3" i="25"/>
  <c r="AN94" i="13"/>
  <c r="AO94" i="13"/>
  <c r="AN126" i="13"/>
  <c r="AM126" i="13"/>
  <c r="AN127" i="13"/>
  <c r="AO127" i="13"/>
  <c r="AN137" i="13"/>
  <c r="AO137" i="13"/>
  <c r="AN138" i="13"/>
  <c r="AO138" i="13"/>
  <c r="AN139" i="13"/>
  <c r="AO139" i="13"/>
  <c r="AN140" i="13"/>
  <c r="AO140" i="13"/>
  <c r="AN141" i="13"/>
  <c r="AO141" i="13"/>
  <c r="AN142" i="13"/>
  <c r="AO142" i="13"/>
  <c r="AN143" i="13"/>
  <c r="AO143" i="13"/>
  <c r="AN144" i="13"/>
  <c r="AO144" i="13"/>
  <c r="AN145" i="13"/>
  <c r="AO145" i="13"/>
  <c r="AN146" i="13"/>
  <c r="AO146" i="13"/>
  <c r="AN147" i="13"/>
  <c r="AO147" i="13"/>
  <c r="AN148" i="13"/>
  <c r="AO148" i="13"/>
  <c r="AN149" i="13"/>
  <c r="AO149" i="13"/>
  <c r="AN150" i="13"/>
  <c r="AO150" i="13"/>
  <c r="AN151" i="13"/>
  <c r="AO151" i="13"/>
  <c r="AN152" i="13"/>
  <c r="AO152" i="13"/>
  <c r="AN153" i="13"/>
  <c r="AO153" i="13"/>
  <c r="AN154" i="13"/>
  <c r="AO154" i="13"/>
  <c r="AN155" i="13"/>
  <c r="AO155" i="13"/>
  <c r="AN156" i="13"/>
  <c r="AO156" i="13"/>
  <c r="AN158" i="13"/>
  <c r="AO158" i="13"/>
  <c r="AN111" i="13"/>
  <c r="AO111" i="13"/>
  <c r="AN112" i="13"/>
  <c r="J65" i="29" s="1"/>
  <c r="AO112" i="13"/>
  <c r="K65" i="29" s="1"/>
  <c r="AN106" i="13"/>
  <c r="AO106" i="13"/>
  <c r="AN108" i="13"/>
  <c r="AO108" i="13"/>
  <c r="AN93" i="13"/>
  <c r="AO93" i="13"/>
  <c r="AN79" i="13"/>
  <c r="AO79" i="13"/>
  <c r="AN80" i="13"/>
  <c r="AO80" i="13"/>
  <c r="AV108" i="13" l="1"/>
  <c r="AV106" i="13" s="1"/>
  <c r="AV105" i="13" s="1"/>
  <c r="AV129" i="13" s="1"/>
  <c r="L18" i="29"/>
  <c r="AW86" i="13"/>
  <c r="AW85" i="13" s="1"/>
  <c r="AW120" i="13" s="1"/>
  <c r="AV125" i="13"/>
  <c r="AV86" i="13"/>
  <c r="AX85" i="13"/>
  <c r="AX120" i="13" s="1"/>
  <c r="AN125" i="13"/>
  <c r="AO114" i="13"/>
  <c r="AN130" i="13"/>
  <c r="AN114" i="13"/>
  <c r="AO82" i="13"/>
  <c r="AO124" i="13"/>
  <c r="AO128" i="13"/>
  <c r="AO105" i="13"/>
  <c r="AS108" i="13"/>
  <c r="AW108" i="13" s="1"/>
  <c r="AN82" i="13"/>
  <c r="AN124" i="13"/>
  <c r="AN128" i="13"/>
  <c r="AO120" i="13"/>
  <c r="AO125" i="13"/>
  <c r="AO81" i="13"/>
  <c r="AO119" i="13"/>
  <c r="AO121" i="13" s="1"/>
  <c r="AO130" i="13"/>
  <c r="AN120" i="13"/>
  <c r="AN107" i="13"/>
  <c r="AO123" i="13"/>
  <c r="AN123" i="13"/>
  <c r="AO129" i="13"/>
  <c r="AN129" i="13"/>
  <c r="AN119" i="13"/>
  <c r="AN159" i="13"/>
  <c r="AO159" i="13"/>
  <c r="AN105" i="13"/>
  <c r="AO107" i="13"/>
  <c r="L29" i="17"/>
  <c r="AW124" i="13" l="1"/>
  <c r="AN81" i="13"/>
  <c r="AV109" i="13"/>
  <c r="AV124" i="13"/>
  <c r="AV85" i="13"/>
  <c r="AV120" i="13" s="1"/>
  <c r="AW109" i="13"/>
  <c r="AW106" i="13"/>
  <c r="AW105" i="13" s="1"/>
  <c r="AN113" i="13"/>
  <c r="AO113" i="13"/>
  <c r="AN121" i="13"/>
  <c r="L22" i="17"/>
  <c r="L52" i="17"/>
  <c r="L41" i="17"/>
  <c r="L36" i="17"/>
  <c r="L28" i="17"/>
  <c r="L21" i="17"/>
  <c r="L16" i="17"/>
  <c r="L4" i="17"/>
  <c r="AL126" i="13"/>
  <c r="AL127" i="13"/>
  <c r="AM127" i="13"/>
  <c r="AL137" i="13"/>
  <c r="AM137" i="13"/>
  <c r="AL138" i="13"/>
  <c r="AM138" i="13"/>
  <c r="AL139" i="13"/>
  <c r="AM139" i="13"/>
  <c r="AL140" i="13"/>
  <c r="AM140" i="13"/>
  <c r="AL141" i="13"/>
  <c r="AM141" i="13"/>
  <c r="AL142" i="13"/>
  <c r="AM142" i="13"/>
  <c r="AL143" i="13"/>
  <c r="AM143" i="13"/>
  <c r="AL144" i="13"/>
  <c r="AM144" i="13"/>
  <c r="AL145" i="13"/>
  <c r="AM145" i="13"/>
  <c r="AL146" i="13"/>
  <c r="AM146" i="13"/>
  <c r="AL147" i="13"/>
  <c r="AM147" i="13"/>
  <c r="AL148" i="13"/>
  <c r="AM148" i="13"/>
  <c r="AL149" i="13"/>
  <c r="AM149" i="13"/>
  <c r="AL150" i="13"/>
  <c r="AM150" i="13"/>
  <c r="AL151" i="13"/>
  <c r="AM151" i="13"/>
  <c r="AL152" i="13"/>
  <c r="AM152" i="13"/>
  <c r="AL153" i="13"/>
  <c r="AM153" i="13"/>
  <c r="AL154" i="13"/>
  <c r="AM154" i="13"/>
  <c r="AL155" i="13"/>
  <c r="AM155" i="13"/>
  <c r="AL156" i="13"/>
  <c r="AM156" i="13"/>
  <c r="AL158" i="13"/>
  <c r="AM158" i="13"/>
  <c r="AI102" i="13"/>
  <c r="AJ102" i="13"/>
  <c r="AK102" i="13"/>
  <c r="AL102" i="13"/>
  <c r="AM102" i="13"/>
  <c r="AL106" i="13"/>
  <c r="AM106" i="13"/>
  <c r="AL108" i="13"/>
  <c r="AM108" i="13"/>
  <c r="AL111" i="13"/>
  <c r="AM111" i="13"/>
  <c r="AL112" i="13"/>
  <c r="AM112" i="13"/>
  <c r="AL93" i="13"/>
  <c r="AM93" i="13"/>
  <c r="AL94" i="13"/>
  <c r="AM94" i="13"/>
  <c r="AL85" i="13"/>
  <c r="AM85" i="13"/>
  <c r="AL86" i="13"/>
  <c r="AM86" i="13"/>
  <c r="AL88" i="13"/>
  <c r="AM88" i="13"/>
  <c r="AL90" i="13"/>
  <c r="AP91" i="13" s="1"/>
  <c r="AM90" i="13"/>
  <c r="AQ91" i="13" s="1"/>
  <c r="AL79" i="13"/>
  <c r="AM79" i="13"/>
  <c r="AL80" i="13"/>
  <c r="AM80" i="13"/>
  <c r="AU102" i="13" l="1"/>
  <c r="AQ103" i="13"/>
  <c r="AU108" i="13"/>
  <c r="AQ109" i="13"/>
  <c r="AW129" i="13"/>
  <c r="AL125" i="13"/>
  <c r="AM119" i="13"/>
  <c r="AM125" i="13"/>
  <c r="AL105" i="13"/>
  <c r="AP109" i="13"/>
  <c r="AM124" i="13"/>
  <c r="AL124" i="13"/>
  <c r="AL120" i="13"/>
  <c r="AL82" i="13"/>
  <c r="AP83" i="13" s="1"/>
  <c r="AM130" i="13"/>
  <c r="AL123" i="13"/>
  <c r="AM128" i="13"/>
  <c r="AL130" i="13"/>
  <c r="AM123" i="13"/>
  <c r="AM129" i="13"/>
  <c r="AM159" i="13"/>
  <c r="AL128" i="13"/>
  <c r="AM120" i="13"/>
  <c r="AL89" i="13"/>
  <c r="AL129" i="13"/>
  <c r="AL119" i="13"/>
  <c r="AL159" i="13"/>
  <c r="AM96" i="13"/>
  <c r="AL96" i="13"/>
  <c r="AM87" i="13"/>
  <c r="AL87" i="13"/>
  <c r="AM89" i="13"/>
  <c r="AM107" i="13"/>
  <c r="AM114" i="13"/>
  <c r="AQ115" i="13" s="1"/>
  <c r="AM82" i="13"/>
  <c r="AL107" i="13"/>
  <c r="AL114" i="13"/>
  <c r="AM105" i="13"/>
  <c r="AM95" i="13" l="1"/>
  <c r="AQ97" i="13"/>
  <c r="AY102" i="13"/>
  <c r="M42" i="17" s="1"/>
  <c r="L42" i="17"/>
  <c r="AM81" i="13"/>
  <c r="AQ83" i="13"/>
  <c r="AL95" i="13"/>
  <c r="AP97" i="13"/>
  <c r="AY108" i="13"/>
  <c r="L47" i="17"/>
  <c r="AL113" i="13"/>
  <c r="AP115" i="13"/>
  <c r="AM113" i="13"/>
  <c r="AL121" i="13"/>
  <c r="AM121" i="13"/>
  <c r="AL131" i="13"/>
  <c r="AL81" i="13"/>
  <c r="AM131" i="13"/>
  <c r="AM133" i="13" s="1"/>
  <c r="AK126" i="13"/>
  <c r="AK127" i="13"/>
  <c r="M47" i="17" l="1"/>
  <c r="AY109" i="13"/>
  <c r="AY106" i="13"/>
  <c r="L21" i="19" s="1" a="1"/>
  <c r="L21" i="19" s="1"/>
  <c r="AL133" i="13"/>
  <c r="AY105" i="13"/>
  <c r="AY129" i="13" s="1"/>
  <c r="L20" i="19" a="1"/>
  <c r="L20" i="19" s="1"/>
  <c r="L23" i="19" s="1"/>
  <c r="AJ126" i="13"/>
  <c r="AJ127" i="13"/>
  <c r="I126" i="13"/>
  <c r="J126" i="13"/>
  <c r="K126" i="13"/>
  <c r="L126" i="13"/>
  <c r="M126" i="13"/>
  <c r="N126" i="13"/>
  <c r="O126" i="13"/>
  <c r="P126" i="13"/>
  <c r="Q126" i="13"/>
  <c r="R126" i="13"/>
  <c r="S126" i="13"/>
  <c r="T126" i="13"/>
  <c r="U126" i="13"/>
  <c r="V126" i="13"/>
  <c r="W126" i="13"/>
  <c r="X126" i="13"/>
  <c r="Y126" i="13"/>
  <c r="Z126" i="13"/>
  <c r="AA126" i="13"/>
  <c r="AB126" i="13"/>
  <c r="AC126" i="13"/>
  <c r="AD126" i="13"/>
  <c r="AE126" i="13"/>
  <c r="AF126" i="13"/>
  <c r="AG126" i="13"/>
  <c r="AH126" i="13"/>
  <c r="AI126" i="13"/>
  <c r="I127" i="13"/>
  <c r="J127" i="13"/>
  <c r="K127" i="13"/>
  <c r="L127" i="13"/>
  <c r="M127" i="13"/>
  <c r="N127" i="13"/>
  <c r="O127" i="13"/>
  <c r="P127" i="13"/>
  <c r="Q127" i="13"/>
  <c r="R127" i="13"/>
  <c r="S127" i="13"/>
  <c r="T127" i="13"/>
  <c r="U127" i="13"/>
  <c r="V127" i="13"/>
  <c r="W127" i="13"/>
  <c r="X127" i="13"/>
  <c r="Y127" i="13"/>
  <c r="Z127" i="13"/>
  <c r="AA127" i="13"/>
  <c r="AB127" i="13"/>
  <c r="AC127" i="13"/>
  <c r="AD127" i="13"/>
  <c r="AE127" i="13"/>
  <c r="AF127" i="13"/>
  <c r="AG127" i="13"/>
  <c r="AH127" i="13"/>
  <c r="AI127" i="13"/>
  <c r="H127" i="13"/>
  <c r="H126" i="13"/>
  <c r="I158" i="13"/>
  <c r="J158" i="13"/>
  <c r="K158" i="13"/>
  <c r="L158" i="13"/>
  <c r="M158" i="13"/>
  <c r="N158" i="13"/>
  <c r="O158" i="13"/>
  <c r="P158" i="13"/>
  <c r="Q158" i="13"/>
  <c r="R158" i="13"/>
  <c r="S158" i="13"/>
  <c r="T158" i="13"/>
  <c r="U158" i="13"/>
  <c r="V158" i="13"/>
  <c r="W158" i="13"/>
  <c r="X158" i="13"/>
  <c r="Y158" i="13"/>
  <c r="Z158" i="13"/>
  <c r="AA158" i="13"/>
  <c r="AB158" i="13"/>
  <c r="AC158" i="13"/>
  <c r="AD158" i="13"/>
  <c r="AE158" i="13"/>
  <c r="AF158" i="13"/>
  <c r="AG158" i="13"/>
  <c r="AH158" i="13"/>
  <c r="AI158" i="13"/>
  <c r="AJ158" i="13"/>
  <c r="AK158" i="13"/>
  <c r="I137" i="13"/>
  <c r="J137" i="13"/>
  <c r="K137" i="13"/>
  <c r="L137" i="13"/>
  <c r="M137" i="13"/>
  <c r="N137" i="13"/>
  <c r="O137" i="13"/>
  <c r="P137" i="13"/>
  <c r="Q137" i="13"/>
  <c r="R137" i="13"/>
  <c r="S137" i="13"/>
  <c r="T137" i="13"/>
  <c r="U137" i="13"/>
  <c r="V137" i="13"/>
  <c r="W137" i="13"/>
  <c r="X137" i="13"/>
  <c r="Y137" i="13"/>
  <c r="Z137" i="13"/>
  <c r="AA137" i="13"/>
  <c r="AB137" i="13"/>
  <c r="AC137" i="13"/>
  <c r="AD137" i="13"/>
  <c r="AE137" i="13"/>
  <c r="AF137" i="13"/>
  <c r="AG137" i="13"/>
  <c r="AH137" i="13"/>
  <c r="AI137" i="13"/>
  <c r="AJ137" i="13"/>
  <c r="AK137" i="13"/>
  <c r="I138" i="13"/>
  <c r="J138" i="13"/>
  <c r="K138" i="13"/>
  <c r="L138" i="13"/>
  <c r="M138" i="13"/>
  <c r="N138" i="13"/>
  <c r="O138" i="13"/>
  <c r="P138" i="13"/>
  <c r="Q138" i="13"/>
  <c r="R138" i="13"/>
  <c r="S138" i="13"/>
  <c r="T138" i="13"/>
  <c r="U138" i="13"/>
  <c r="V138" i="13"/>
  <c r="W138" i="13"/>
  <c r="X138" i="13"/>
  <c r="Y138" i="13"/>
  <c r="Z138" i="13"/>
  <c r="AA138" i="13"/>
  <c r="AB138" i="13"/>
  <c r="AC138" i="13"/>
  <c r="AD138" i="13"/>
  <c r="AE138" i="13"/>
  <c r="AF138" i="13"/>
  <c r="AG138" i="13"/>
  <c r="AH138" i="13"/>
  <c r="AI138" i="13"/>
  <c r="AJ138" i="13"/>
  <c r="AK138" i="13"/>
  <c r="I139" i="13"/>
  <c r="J139" i="13"/>
  <c r="K139" i="13"/>
  <c r="L139" i="13"/>
  <c r="M139" i="13"/>
  <c r="N139" i="13"/>
  <c r="O139" i="13"/>
  <c r="P139" i="13"/>
  <c r="Q139" i="13"/>
  <c r="R139" i="13"/>
  <c r="S139" i="13"/>
  <c r="T139" i="13"/>
  <c r="U139" i="13"/>
  <c r="V139" i="13"/>
  <c r="W139" i="13"/>
  <c r="X139" i="13"/>
  <c r="Y139" i="13"/>
  <c r="Z139" i="13"/>
  <c r="AA139" i="13"/>
  <c r="AB139" i="13"/>
  <c r="AC139" i="13"/>
  <c r="AD139" i="13"/>
  <c r="AE139" i="13"/>
  <c r="AF139" i="13"/>
  <c r="AG139" i="13"/>
  <c r="AH139" i="13"/>
  <c r="AI139" i="13"/>
  <c r="AJ139" i="13"/>
  <c r="AK139" i="13"/>
  <c r="I140" i="13"/>
  <c r="J140" i="13"/>
  <c r="K140" i="13"/>
  <c r="L140" i="13"/>
  <c r="M140" i="13"/>
  <c r="N140" i="13"/>
  <c r="O140" i="13"/>
  <c r="P140" i="13"/>
  <c r="Q140" i="13"/>
  <c r="R140" i="13"/>
  <c r="S140" i="13"/>
  <c r="T140" i="13"/>
  <c r="U140" i="13"/>
  <c r="V140" i="13"/>
  <c r="W140" i="13"/>
  <c r="X140" i="13"/>
  <c r="Y140" i="13"/>
  <c r="Z140" i="13"/>
  <c r="AA140" i="13"/>
  <c r="AB140" i="13"/>
  <c r="AC140" i="13"/>
  <c r="AD140" i="13"/>
  <c r="AE140" i="13"/>
  <c r="AF140" i="13"/>
  <c r="AG140" i="13"/>
  <c r="AH140" i="13"/>
  <c r="AI140" i="13"/>
  <c r="AJ140" i="13"/>
  <c r="AK140" i="13"/>
  <c r="I141" i="13"/>
  <c r="J141" i="13"/>
  <c r="K141" i="13"/>
  <c r="L141" i="13"/>
  <c r="M141" i="13"/>
  <c r="N141" i="13"/>
  <c r="O141" i="13"/>
  <c r="P141" i="13"/>
  <c r="Q141" i="13"/>
  <c r="R141" i="13"/>
  <c r="S141" i="13"/>
  <c r="T141" i="13"/>
  <c r="U141" i="13"/>
  <c r="V141" i="13"/>
  <c r="W141" i="13"/>
  <c r="X141" i="13"/>
  <c r="Y141" i="13"/>
  <c r="Z141" i="13"/>
  <c r="AA141" i="13"/>
  <c r="AB141" i="13"/>
  <c r="AC141" i="13"/>
  <c r="AD141" i="13"/>
  <c r="AE141" i="13"/>
  <c r="AF141" i="13"/>
  <c r="AG141" i="13"/>
  <c r="AH141" i="13"/>
  <c r="AI141" i="13"/>
  <c r="AJ141" i="13"/>
  <c r="AK141" i="13"/>
  <c r="I142" i="13"/>
  <c r="J142" i="13"/>
  <c r="K142" i="13"/>
  <c r="L142" i="13"/>
  <c r="M142" i="13"/>
  <c r="N142" i="13"/>
  <c r="O142" i="13"/>
  <c r="P142" i="13"/>
  <c r="Q142" i="13"/>
  <c r="R142" i="13"/>
  <c r="S142" i="13"/>
  <c r="T142" i="13"/>
  <c r="U142" i="13"/>
  <c r="V142" i="13"/>
  <c r="W142" i="13"/>
  <c r="X142" i="13"/>
  <c r="Y142" i="13"/>
  <c r="Z142" i="13"/>
  <c r="AA142" i="13"/>
  <c r="AB142" i="13"/>
  <c r="AC142" i="13"/>
  <c r="AD142" i="13"/>
  <c r="AE142" i="13"/>
  <c r="AF142" i="13"/>
  <c r="AG142" i="13"/>
  <c r="AH142" i="13"/>
  <c r="AI142" i="13"/>
  <c r="AJ142" i="13"/>
  <c r="AK142" i="13"/>
  <c r="I143" i="13"/>
  <c r="J143" i="13"/>
  <c r="K143" i="13"/>
  <c r="L143" i="13"/>
  <c r="M143" i="13"/>
  <c r="N143" i="13"/>
  <c r="O143" i="13"/>
  <c r="P143" i="13"/>
  <c r="Q143" i="13"/>
  <c r="R143" i="13"/>
  <c r="S143" i="13"/>
  <c r="T143" i="13"/>
  <c r="U143" i="13"/>
  <c r="V143" i="13"/>
  <c r="W143" i="13"/>
  <c r="X143" i="13"/>
  <c r="Y143" i="13"/>
  <c r="Z143" i="13"/>
  <c r="AA143" i="13"/>
  <c r="AB143" i="13"/>
  <c r="AC143" i="13"/>
  <c r="AD143" i="13"/>
  <c r="AE143" i="13"/>
  <c r="AF143" i="13"/>
  <c r="AG143" i="13"/>
  <c r="AH143" i="13"/>
  <c r="AI143" i="13"/>
  <c r="AJ143" i="13"/>
  <c r="AK143" i="13"/>
  <c r="I144" i="13"/>
  <c r="J144" i="13"/>
  <c r="K144" i="13"/>
  <c r="L144" i="13"/>
  <c r="M144" i="13"/>
  <c r="N144" i="13"/>
  <c r="O144" i="13"/>
  <c r="P144" i="13"/>
  <c r="Q144" i="13"/>
  <c r="R144" i="13"/>
  <c r="S144" i="13"/>
  <c r="T144" i="13"/>
  <c r="U144" i="13"/>
  <c r="V144" i="13"/>
  <c r="W144" i="13"/>
  <c r="X144" i="13"/>
  <c r="Y144" i="13"/>
  <c r="Z144" i="13"/>
  <c r="AA144" i="13"/>
  <c r="AB144" i="13"/>
  <c r="AC144" i="13"/>
  <c r="AD144" i="13"/>
  <c r="AE144" i="13"/>
  <c r="AF144" i="13"/>
  <c r="AG144" i="13"/>
  <c r="AH144" i="13"/>
  <c r="AI144" i="13"/>
  <c r="AJ144" i="13"/>
  <c r="AK144" i="13"/>
  <c r="I145" i="13"/>
  <c r="J145" i="13"/>
  <c r="K145" i="13"/>
  <c r="L145" i="13"/>
  <c r="M145" i="13"/>
  <c r="N145" i="13"/>
  <c r="O145" i="13"/>
  <c r="P145" i="13"/>
  <c r="Q145" i="13"/>
  <c r="R145" i="13"/>
  <c r="S145" i="13"/>
  <c r="T145" i="13"/>
  <c r="U145" i="13"/>
  <c r="V145" i="13"/>
  <c r="W145" i="13"/>
  <c r="X145" i="13"/>
  <c r="Y145" i="13"/>
  <c r="Z145" i="13"/>
  <c r="AA145" i="13"/>
  <c r="AB145" i="13"/>
  <c r="AC145" i="13"/>
  <c r="AD145" i="13"/>
  <c r="AE145" i="13"/>
  <c r="AF145" i="13"/>
  <c r="AG145" i="13"/>
  <c r="AH145" i="13"/>
  <c r="AI145" i="13"/>
  <c r="AJ145" i="13"/>
  <c r="AK145" i="13"/>
  <c r="I146" i="13"/>
  <c r="J146" i="13"/>
  <c r="K146" i="13"/>
  <c r="L146" i="13"/>
  <c r="M146" i="13"/>
  <c r="N146" i="13"/>
  <c r="O146" i="13"/>
  <c r="P146" i="13"/>
  <c r="Q146" i="13"/>
  <c r="R146" i="13"/>
  <c r="S146" i="13"/>
  <c r="T146" i="13"/>
  <c r="U146" i="13"/>
  <c r="V146" i="13"/>
  <c r="W146" i="13"/>
  <c r="X146" i="13"/>
  <c r="Y146" i="13"/>
  <c r="Z146" i="13"/>
  <c r="AA146" i="13"/>
  <c r="AB146" i="13"/>
  <c r="AC146" i="13"/>
  <c r="AD146" i="13"/>
  <c r="AE146" i="13"/>
  <c r="AF146" i="13"/>
  <c r="AG146" i="13"/>
  <c r="AH146" i="13"/>
  <c r="AI146" i="13"/>
  <c r="AJ146" i="13"/>
  <c r="AK146" i="13"/>
  <c r="I147" i="13"/>
  <c r="J147" i="13"/>
  <c r="K147" i="13"/>
  <c r="L147" i="13"/>
  <c r="M147" i="13"/>
  <c r="N147" i="13"/>
  <c r="O147" i="13"/>
  <c r="P147" i="13"/>
  <c r="Q147" i="13"/>
  <c r="R147" i="13"/>
  <c r="S147" i="13"/>
  <c r="T147" i="13"/>
  <c r="U147" i="13"/>
  <c r="V147" i="13"/>
  <c r="W147" i="13"/>
  <c r="X147" i="13"/>
  <c r="Y147" i="13"/>
  <c r="Z147" i="13"/>
  <c r="AA147" i="13"/>
  <c r="AB147" i="13"/>
  <c r="AC147" i="13"/>
  <c r="AD147" i="13"/>
  <c r="AE147" i="13"/>
  <c r="AF147" i="13"/>
  <c r="AG147" i="13"/>
  <c r="AH147" i="13"/>
  <c r="AI147" i="13"/>
  <c r="AJ147" i="13"/>
  <c r="AK147" i="13"/>
  <c r="I148" i="13"/>
  <c r="J148" i="13"/>
  <c r="K148" i="13"/>
  <c r="L148" i="13"/>
  <c r="M148" i="13"/>
  <c r="N148" i="13"/>
  <c r="O148" i="13"/>
  <c r="P148" i="13"/>
  <c r="Q148" i="13"/>
  <c r="R148" i="13"/>
  <c r="S148" i="13"/>
  <c r="T148" i="13"/>
  <c r="U148" i="13"/>
  <c r="V148" i="13"/>
  <c r="W148" i="13"/>
  <c r="X148" i="13"/>
  <c r="Y148" i="13"/>
  <c r="Z148" i="13"/>
  <c r="AA148" i="13"/>
  <c r="AB148" i="13"/>
  <c r="AC148" i="13"/>
  <c r="AD148" i="13"/>
  <c r="AE148" i="13"/>
  <c r="AF148" i="13"/>
  <c r="AG148" i="13"/>
  <c r="AH148" i="13"/>
  <c r="AI148" i="13"/>
  <c r="AJ148" i="13"/>
  <c r="AK148" i="13"/>
  <c r="I149" i="13"/>
  <c r="J149" i="13"/>
  <c r="K149" i="13"/>
  <c r="L149" i="13"/>
  <c r="M149" i="13"/>
  <c r="N149" i="13"/>
  <c r="O149" i="13"/>
  <c r="P149" i="13"/>
  <c r="Q149" i="13"/>
  <c r="R149" i="13"/>
  <c r="S149" i="13"/>
  <c r="T149" i="13"/>
  <c r="U149" i="13"/>
  <c r="V149" i="13"/>
  <c r="W149" i="13"/>
  <c r="X149" i="13"/>
  <c r="Y149" i="13"/>
  <c r="Z149" i="13"/>
  <c r="AA149" i="13"/>
  <c r="AB149" i="13"/>
  <c r="AC149" i="13"/>
  <c r="AD149" i="13"/>
  <c r="AE149" i="13"/>
  <c r="AF149" i="13"/>
  <c r="AG149" i="13"/>
  <c r="AH149" i="13"/>
  <c r="AI149" i="13"/>
  <c r="AJ149" i="13"/>
  <c r="AK149" i="13"/>
  <c r="I150" i="13"/>
  <c r="J150" i="13"/>
  <c r="K150" i="13"/>
  <c r="L150" i="13"/>
  <c r="M150" i="13"/>
  <c r="N150" i="13"/>
  <c r="O150" i="13"/>
  <c r="P150" i="13"/>
  <c r="Q150" i="13"/>
  <c r="R150" i="13"/>
  <c r="S150" i="13"/>
  <c r="T150" i="13"/>
  <c r="U150" i="13"/>
  <c r="V150" i="13"/>
  <c r="W150" i="13"/>
  <c r="X150" i="13"/>
  <c r="Y150" i="13"/>
  <c r="Z150" i="13"/>
  <c r="AA150" i="13"/>
  <c r="AB150" i="13"/>
  <c r="AC150" i="13"/>
  <c r="AD150" i="13"/>
  <c r="AE150" i="13"/>
  <c r="AF150" i="13"/>
  <c r="AG150" i="13"/>
  <c r="AH150" i="13"/>
  <c r="AI150" i="13"/>
  <c r="AJ150" i="13"/>
  <c r="AK150" i="13"/>
  <c r="I151" i="13"/>
  <c r="J151" i="13"/>
  <c r="K151" i="13"/>
  <c r="L151" i="13"/>
  <c r="M151" i="13"/>
  <c r="N151" i="13"/>
  <c r="O151" i="13"/>
  <c r="P151" i="13"/>
  <c r="Q151" i="13"/>
  <c r="R151" i="13"/>
  <c r="S151" i="13"/>
  <c r="T151" i="13"/>
  <c r="U151" i="13"/>
  <c r="V151" i="13"/>
  <c r="W151" i="13"/>
  <c r="X151" i="13"/>
  <c r="Y151" i="13"/>
  <c r="Z151" i="13"/>
  <c r="AA151" i="13"/>
  <c r="AB151" i="13"/>
  <c r="AC151" i="13"/>
  <c r="AD151" i="13"/>
  <c r="AE151" i="13"/>
  <c r="AF151" i="13"/>
  <c r="AG151" i="13"/>
  <c r="AH151" i="13"/>
  <c r="AI151" i="13"/>
  <c r="AJ151" i="13"/>
  <c r="AK151" i="13"/>
  <c r="I152" i="13"/>
  <c r="J152" i="13"/>
  <c r="K152" i="13"/>
  <c r="L152" i="13"/>
  <c r="M152" i="13"/>
  <c r="N152" i="13"/>
  <c r="O152" i="13"/>
  <c r="P152" i="13"/>
  <c r="Q152" i="13"/>
  <c r="R152" i="13"/>
  <c r="S152" i="13"/>
  <c r="T152" i="13"/>
  <c r="U152" i="13"/>
  <c r="V152" i="13"/>
  <c r="W152" i="13"/>
  <c r="X152" i="13"/>
  <c r="Y152" i="13"/>
  <c r="Z152" i="13"/>
  <c r="AA152" i="13"/>
  <c r="AB152" i="13"/>
  <c r="AC152" i="13"/>
  <c r="AD152" i="13"/>
  <c r="AE152" i="13"/>
  <c r="AF152" i="13"/>
  <c r="AG152" i="13"/>
  <c r="AH152" i="13"/>
  <c r="AI152" i="13"/>
  <c r="AJ152" i="13"/>
  <c r="AK152" i="13"/>
  <c r="I153" i="13"/>
  <c r="J153" i="13"/>
  <c r="K153" i="13"/>
  <c r="L153" i="13"/>
  <c r="M153" i="13"/>
  <c r="N153" i="13"/>
  <c r="O153" i="13"/>
  <c r="P153" i="13"/>
  <c r="Q153" i="13"/>
  <c r="R153" i="13"/>
  <c r="S153" i="13"/>
  <c r="T153" i="13"/>
  <c r="U153" i="13"/>
  <c r="V153" i="13"/>
  <c r="W153" i="13"/>
  <c r="X153" i="13"/>
  <c r="Y153" i="13"/>
  <c r="Z153" i="13"/>
  <c r="AA153" i="13"/>
  <c r="AB153" i="13"/>
  <c r="AC153" i="13"/>
  <c r="AD153" i="13"/>
  <c r="AE153" i="13"/>
  <c r="AF153" i="13"/>
  <c r="AG153" i="13"/>
  <c r="AH153" i="13"/>
  <c r="AI153" i="13"/>
  <c r="AJ153" i="13"/>
  <c r="AK153" i="13"/>
  <c r="I154" i="13"/>
  <c r="J154" i="13"/>
  <c r="K154" i="13"/>
  <c r="L154" i="13"/>
  <c r="M154" i="13"/>
  <c r="N154" i="13"/>
  <c r="O154" i="13"/>
  <c r="P154" i="13"/>
  <c r="Q154" i="13"/>
  <c r="R154" i="13"/>
  <c r="S154" i="13"/>
  <c r="T154" i="13"/>
  <c r="U154" i="13"/>
  <c r="V154" i="13"/>
  <c r="W154" i="13"/>
  <c r="X154" i="13"/>
  <c r="Y154" i="13"/>
  <c r="Z154" i="13"/>
  <c r="AA154" i="13"/>
  <c r="AB154" i="13"/>
  <c r="AC154" i="13"/>
  <c r="AD154" i="13"/>
  <c r="AE154" i="13"/>
  <c r="AF154" i="13"/>
  <c r="AG154" i="13"/>
  <c r="AH154" i="13"/>
  <c r="AI154" i="13"/>
  <c r="AJ154" i="13"/>
  <c r="AK154" i="13"/>
  <c r="I155" i="13"/>
  <c r="J155" i="13"/>
  <c r="K155" i="13"/>
  <c r="L155" i="13"/>
  <c r="M155" i="13"/>
  <c r="N155" i="13"/>
  <c r="O155" i="13"/>
  <c r="P155" i="13"/>
  <c r="Q155" i="13"/>
  <c r="R155" i="13"/>
  <c r="S155" i="13"/>
  <c r="T155" i="13"/>
  <c r="U155" i="13"/>
  <c r="V155" i="13"/>
  <c r="W155" i="13"/>
  <c r="X155" i="13"/>
  <c r="Y155" i="13"/>
  <c r="Z155" i="13"/>
  <c r="AA155" i="13"/>
  <c r="AB155" i="13"/>
  <c r="AC155" i="13"/>
  <c r="AD155" i="13"/>
  <c r="AE155" i="13"/>
  <c r="AF155" i="13"/>
  <c r="AG155" i="13"/>
  <c r="AH155" i="13"/>
  <c r="AI155" i="13"/>
  <c r="AJ155" i="13"/>
  <c r="AK155" i="13"/>
  <c r="I156" i="13"/>
  <c r="J156" i="13"/>
  <c r="K156" i="13"/>
  <c r="L156" i="13"/>
  <c r="M156" i="13"/>
  <c r="N156" i="13"/>
  <c r="O156" i="13"/>
  <c r="P156" i="13"/>
  <c r="Q156" i="13"/>
  <c r="R156" i="13"/>
  <c r="S156" i="13"/>
  <c r="T156" i="13"/>
  <c r="U156" i="13"/>
  <c r="V156" i="13"/>
  <c r="W156" i="13"/>
  <c r="X156" i="13"/>
  <c r="Y156" i="13"/>
  <c r="Z156" i="13"/>
  <c r="AA156" i="13"/>
  <c r="AB156" i="13"/>
  <c r="AC156" i="13"/>
  <c r="AD156" i="13"/>
  <c r="AE156" i="13"/>
  <c r="AF156" i="13"/>
  <c r="AG156" i="13"/>
  <c r="AH156" i="13"/>
  <c r="AI156" i="13"/>
  <c r="AJ156" i="13"/>
  <c r="AK156" i="13"/>
  <c r="H145" i="13"/>
  <c r="AS114" i="13" l="1"/>
  <c r="AS130" i="13" s="1"/>
  <c r="G13" i="26"/>
  <c r="T13" i="26"/>
  <c r="L22" i="19"/>
  <c r="M49" i="17" s="1"/>
  <c r="AJ128" i="13"/>
  <c r="AK120" i="13"/>
  <c r="AK128" i="13"/>
  <c r="AK119" i="13"/>
  <c r="AK129" i="13"/>
  <c r="AK123" i="13"/>
  <c r="AK130" i="13"/>
  <c r="AK124" i="13"/>
  <c r="AK125" i="13"/>
  <c r="H158" i="13"/>
  <c r="H156" i="13"/>
  <c r="H155" i="13"/>
  <c r="H154" i="13"/>
  <c r="H153" i="13"/>
  <c r="H152" i="13"/>
  <c r="H151" i="13"/>
  <c r="H150" i="13"/>
  <c r="H149" i="13"/>
  <c r="H148" i="13"/>
  <c r="H147" i="13"/>
  <c r="H146" i="13"/>
  <c r="H144" i="13"/>
  <c r="H143" i="13"/>
  <c r="H142" i="13"/>
  <c r="H141" i="13"/>
  <c r="H140" i="13"/>
  <c r="H139" i="13"/>
  <c r="H138" i="13"/>
  <c r="H137" i="13"/>
  <c r="H119" i="13" s="1"/>
  <c r="I94" i="13"/>
  <c r="J94" i="13"/>
  <c r="K94" i="13"/>
  <c r="L94" i="13"/>
  <c r="M94" i="13"/>
  <c r="N94" i="13"/>
  <c r="O94" i="13"/>
  <c r="P94" i="13"/>
  <c r="Q94" i="13"/>
  <c r="R94" i="13"/>
  <c r="S94" i="13"/>
  <c r="T94" i="13"/>
  <c r="U94" i="13"/>
  <c r="V94" i="13"/>
  <c r="W94" i="13"/>
  <c r="X94" i="13"/>
  <c r="Y94" i="13"/>
  <c r="Z94" i="13"/>
  <c r="AA94" i="13"/>
  <c r="AB94" i="13"/>
  <c r="AC94" i="13"/>
  <c r="AD94" i="13"/>
  <c r="AE94" i="13"/>
  <c r="AF94" i="13"/>
  <c r="AG94" i="13"/>
  <c r="AH94" i="13"/>
  <c r="AI94" i="13"/>
  <c r="AJ94" i="13"/>
  <c r="AK94" i="13"/>
  <c r="H94" i="13"/>
  <c r="AK111" i="13"/>
  <c r="AK112" i="13"/>
  <c r="AK106" i="13"/>
  <c r="AK108" i="13"/>
  <c r="AK105" i="13" s="1"/>
  <c r="AK93" i="13"/>
  <c r="AK85" i="13"/>
  <c r="AK86" i="13"/>
  <c r="AK88" i="13"/>
  <c r="AK90" i="13"/>
  <c r="AO91" i="13" s="1"/>
  <c r="AK79" i="13"/>
  <c r="AK80" i="13"/>
  <c r="AT114" i="13" l="1"/>
  <c r="AT130" i="13" s="1"/>
  <c r="AK82" i="13"/>
  <c r="AO83" i="13" s="1"/>
  <c r="AK121" i="13"/>
  <c r="AK87" i="13"/>
  <c r="H159" i="13"/>
  <c r="AK114" i="13"/>
  <c r="AK131" i="13"/>
  <c r="AK89" i="13"/>
  <c r="AK107" i="13"/>
  <c r="AK159" i="13"/>
  <c r="H64" i="9"/>
  <c r="H65" i="9"/>
  <c r="H66" i="9"/>
  <c r="H67" i="9"/>
  <c r="N49" i="26"/>
  <c r="X17" i="22"/>
  <c r="X16" i="22"/>
  <c r="X15" i="22"/>
  <c r="X11" i="22"/>
  <c r="X10" i="22"/>
  <c r="X9" i="22"/>
  <c r="Y17" i="22"/>
  <c r="Y16" i="22"/>
  <c r="Y15" i="22"/>
  <c r="Y11" i="22"/>
  <c r="Y10" i="22"/>
  <c r="Y9" i="22"/>
  <c r="Y8" i="22"/>
  <c r="X8" i="22"/>
  <c r="Y7" i="22"/>
  <c r="X7" i="22"/>
  <c r="Y6" i="22"/>
  <c r="X6" i="22"/>
  <c r="D101" i="9"/>
  <c r="D100" i="9"/>
  <c r="D99" i="9"/>
  <c r="D98" i="9"/>
  <c r="D97" i="9"/>
  <c r="D96" i="9"/>
  <c r="D95" i="9"/>
  <c r="C97" i="9"/>
  <c r="C98" i="9"/>
  <c r="C99" i="9"/>
  <c r="C100" i="9"/>
  <c r="C101" i="9"/>
  <c r="C96" i="9"/>
  <c r="AU114" i="13" l="1"/>
  <c r="L53" i="17" s="1"/>
  <c r="AK133" i="13"/>
  <c r="AK113" i="13"/>
  <c r="AO115" i="13"/>
  <c r="AK81" i="13"/>
  <c r="AJ123" i="13"/>
  <c r="AJ120" i="13"/>
  <c r="AJ124" i="13"/>
  <c r="AJ111" i="13"/>
  <c r="AJ112" i="13"/>
  <c r="AJ106" i="13"/>
  <c r="AJ108" i="13"/>
  <c r="AJ93" i="13"/>
  <c r="AJ85" i="13"/>
  <c r="AJ86" i="13"/>
  <c r="K19" i="29" s="1"/>
  <c r="AJ88" i="13"/>
  <c r="AJ90" i="13"/>
  <c r="AJ78" i="13"/>
  <c r="AJ79" i="13"/>
  <c r="AJ80" i="13"/>
  <c r="K18" i="29" s="1"/>
  <c r="J154" i="23"/>
  <c r="J39" i="23"/>
  <c r="J107" i="23"/>
  <c r="J133" i="23"/>
  <c r="F142" i="23"/>
  <c r="F143" i="23"/>
  <c r="F144" i="23"/>
  <c r="F145" i="23"/>
  <c r="F146" i="23"/>
  <c r="F147" i="23"/>
  <c r="F148" i="23"/>
  <c r="F149" i="23"/>
  <c r="F150" i="23"/>
  <c r="F151" i="23"/>
  <c r="F141" i="23"/>
  <c r="AV114" i="13" l="1"/>
  <c r="AV130" i="13" s="1"/>
  <c r="AU130" i="13"/>
  <c r="AN91" i="13"/>
  <c r="AW114" i="13"/>
  <c r="K20" i="29"/>
  <c r="AJ82" i="13"/>
  <c r="AN83" i="13" s="1"/>
  <c r="AJ87" i="13"/>
  <c r="AJ119" i="13"/>
  <c r="AJ121" i="13" s="1"/>
  <c r="AJ129" i="13"/>
  <c r="AJ114" i="13"/>
  <c r="AJ125" i="13"/>
  <c r="AJ130" i="13"/>
  <c r="AJ107" i="13"/>
  <c r="AJ159" i="13"/>
  <c r="AJ89" i="13"/>
  <c r="K22" i="29" s="1"/>
  <c r="AJ105" i="13"/>
  <c r="AB28" i="25"/>
  <c r="AA28" i="25"/>
  <c r="Z28" i="25"/>
  <c r="X19" i="25"/>
  <c r="AV112" i="13" l="1"/>
  <c r="AV111" i="13" s="1"/>
  <c r="AV115" i="13"/>
  <c r="AW130" i="13"/>
  <c r="AW112" i="13"/>
  <c r="AW111" i="13" s="1"/>
  <c r="AW115" i="13"/>
  <c r="AJ113" i="13"/>
  <c r="AN115" i="13"/>
  <c r="AX114" i="13"/>
  <c r="AY114" i="13" s="1"/>
  <c r="AJ81" i="13"/>
  <c r="R5" i="9"/>
  <c r="R6" i="9"/>
  <c r="R7" i="9"/>
  <c r="R8" i="9"/>
  <c r="R9" i="9"/>
  <c r="R10" i="9"/>
  <c r="R11" i="9"/>
  <c r="R12" i="9"/>
  <c r="R13" i="9"/>
  <c r="R14" i="9"/>
  <c r="R15" i="9"/>
  <c r="R16" i="9"/>
  <c r="R17" i="9"/>
  <c r="R18" i="9"/>
  <c r="R19" i="9"/>
  <c r="R20" i="9"/>
  <c r="R21" i="9"/>
  <c r="R22" i="9"/>
  <c r="R23" i="9"/>
  <c r="R24" i="9"/>
  <c r="R25" i="9"/>
  <c r="R26" i="9"/>
  <c r="R27" i="9"/>
  <c r="R28" i="9"/>
  <c r="R29" i="9"/>
  <c r="R30" i="9"/>
  <c r="R31" i="9"/>
  <c r="R32" i="9"/>
  <c r="R33" i="9"/>
  <c r="R34" i="9"/>
  <c r="R35" i="9"/>
  <c r="R36" i="9"/>
  <c r="R37" i="9"/>
  <c r="R38" i="9"/>
  <c r="R39" i="9"/>
  <c r="R40" i="9"/>
  <c r="R41" i="9"/>
  <c r="R42" i="9"/>
  <c r="R43" i="9"/>
  <c r="R44" i="9"/>
  <c r="R45" i="9"/>
  <c r="R46" i="9"/>
  <c r="R47" i="9"/>
  <c r="R48" i="9"/>
  <c r="R49" i="9"/>
  <c r="R50" i="9"/>
  <c r="R51" i="9"/>
  <c r="R52" i="9"/>
  <c r="R53" i="9"/>
  <c r="R54" i="9"/>
  <c r="R55" i="9"/>
  <c r="R56" i="9"/>
  <c r="R57" i="9"/>
  <c r="R58" i="9"/>
  <c r="R59" i="9"/>
  <c r="R60" i="9"/>
  <c r="R61" i="9"/>
  <c r="R62" i="9"/>
  <c r="R63" i="9"/>
  <c r="R4" i="9"/>
  <c r="M53" i="17" l="1"/>
  <c r="AY130" i="13"/>
  <c r="AY112" i="13"/>
  <c r="AY111" i="13" s="1"/>
  <c r="AY115" i="13"/>
  <c r="AX130" i="13"/>
  <c r="T14" i="26" s="1"/>
  <c r="AX112" i="13"/>
  <c r="AX115" i="13"/>
  <c r="K52" i="17"/>
  <c r="J52" i="17"/>
  <c r="I52" i="17"/>
  <c r="H52" i="17"/>
  <c r="G52" i="17"/>
  <c r="F52" i="17"/>
  <c r="E52" i="17"/>
  <c r="K46" i="17"/>
  <c r="J46" i="17"/>
  <c r="I46" i="17"/>
  <c r="H46" i="17"/>
  <c r="G46" i="17"/>
  <c r="F46" i="17"/>
  <c r="E46" i="17"/>
  <c r="D46" i="17"/>
  <c r="C46" i="17"/>
  <c r="B46" i="17"/>
  <c r="K41" i="17"/>
  <c r="J41" i="17"/>
  <c r="I41" i="17"/>
  <c r="H41" i="17"/>
  <c r="G41" i="17"/>
  <c r="F41" i="17"/>
  <c r="E41" i="17"/>
  <c r="D41" i="17"/>
  <c r="C41" i="17"/>
  <c r="B41" i="17"/>
  <c r="K36" i="17"/>
  <c r="J36" i="17"/>
  <c r="I36" i="17"/>
  <c r="H36" i="17"/>
  <c r="G36" i="17"/>
  <c r="F36" i="17"/>
  <c r="E36" i="17"/>
  <c r="D36" i="17"/>
  <c r="C36" i="17"/>
  <c r="B36" i="17"/>
  <c r="K28" i="17"/>
  <c r="J28" i="17"/>
  <c r="I28" i="17"/>
  <c r="H28" i="17"/>
  <c r="G28" i="17"/>
  <c r="F28" i="17"/>
  <c r="E28" i="17"/>
  <c r="D28" i="17"/>
  <c r="C28" i="17"/>
  <c r="K21" i="17"/>
  <c r="J21" i="17"/>
  <c r="I21" i="17"/>
  <c r="H21" i="17"/>
  <c r="G21" i="17"/>
  <c r="F21" i="17"/>
  <c r="E21" i="17"/>
  <c r="D21" i="17"/>
  <c r="C21" i="17"/>
  <c r="B21" i="17"/>
  <c r="K29" i="17"/>
  <c r="J29" i="17"/>
  <c r="I22" i="17"/>
  <c r="H22" i="17"/>
  <c r="G22" i="17"/>
  <c r="F22" i="17"/>
  <c r="E22" i="17"/>
  <c r="K16" i="17"/>
  <c r="J16" i="17"/>
  <c r="I16" i="17"/>
  <c r="H16" i="17"/>
  <c r="G16" i="17"/>
  <c r="F16" i="17"/>
  <c r="E16" i="17"/>
  <c r="D16" i="17"/>
  <c r="C16" i="17"/>
  <c r="B16" i="17"/>
  <c r="K9" i="17"/>
  <c r="J9" i="17"/>
  <c r="I9" i="17"/>
  <c r="H9" i="17"/>
  <c r="G9" i="17"/>
  <c r="F9" i="17"/>
  <c r="E9" i="17"/>
  <c r="D9" i="17"/>
  <c r="C9" i="17"/>
  <c r="B9" i="17"/>
  <c r="J10" i="17"/>
  <c r="I10" i="17"/>
  <c r="H10" i="17"/>
  <c r="G10" i="17"/>
  <c r="F10" i="17"/>
  <c r="E10" i="17"/>
  <c r="K4" i="17"/>
  <c r="J4" i="17"/>
  <c r="I4" i="17"/>
  <c r="H4" i="17"/>
  <c r="G4" i="17"/>
  <c r="F4" i="17"/>
  <c r="E4" i="17"/>
  <c r="D4" i="17"/>
  <c r="C4" i="17"/>
  <c r="B4" i="17"/>
  <c r="Z17" i="22"/>
  <c r="W17" i="22"/>
  <c r="V17" i="22"/>
  <c r="Z16" i="22"/>
  <c r="W16" i="22"/>
  <c r="V16" i="22"/>
  <c r="Z15" i="22"/>
  <c r="W15" i="22"/>
  <c r="V15" i="22"/>
  <c r="AB14" i="22"/>
  <c r="V14" i="22"/>
  <c r="V13" i="22"/>
  <c r="V12" i="22"/>
  <c r="Z11" i="22"/>
  <c r="W11" i="22"/>
  <c r="V11" i="22"/>
  <c r="Z10" i="22"/>
  <c r="W10" i="22"/>
  <c r="V10" i="22"/>
  <c r="Z9" i="22"/>
  <c r="W9" i="22"/>
  <c r="V9" i="22"/>
  <c r="Z8" i="22"/>
  <c r="W8" i="22"/>
  <c r="V8" i="22"/>
  <c r="Z7" i="22"/>
  <c r="W7" i="22"/>
  <c r="V7" i="22"/>
  <c r="Z6" i="22"/>
  <c r="W6" i="22"/>
  <c r="V6" i="22"/>
  <c r="E84" i="9"/>
  <c r="B84" i="9"/>
  <c r="E83" i="9"/>
  <c r="B83" i="9"/>
  <c r="E82" i="9"/>
  <c r="B82" i="9"/>
  <c r="E81" i="9"/>
  <c r="B81" i="9"/>
  <c r="E80" i="9"/>
  <c r="B80" i="9"/>
  <c r="E79" i="9"/>
  <c r="B79" i="9"/>
  <c r="E78" i="9"/>
  <c r="B78" i="9"/>
  <c r="E77" i="9"/>
  <c r="B77" i="9"/>
  <c r="E76" i="9"/>
  <c r="B76" i="9"/>
  <c r="E75" i="9"/>
  <c r="B75" i="9"/>
  <c r="E74" i="9"/>
  <c r="B74" i="9"/>
  <c r="E73" i="9"/>
  <c r="B73" i="9"/>
  <c r="E72" i="9"/>
  <c r="B72" i="9"/>
  <c r="E71" i="9"/>
  <c r="B71" i="9"/>
  <c r="M63" i="9"/>
  <c r="L63" i="9"/>
  <c r="H63" i="9"/>
  <c r="M62" i="9"/>
  <c r="L62" i="9"/>
  <c r="H62" i="9"/>
  <c r="M61" i="9"/>
  <c r="L61" i="9"/>
  <c r="H61" i="9"/>
  <c r="M60" i="9"/>
  <c r="L60" i="9"/>
  <c r="H60" i="9"/>
  <c r="M59" i="9"/>
  <c r="L59" i="9"/>
  <c r="H59" i="9"/>
  <c r="AY94" i="13" s="1"/>
  <c r="M58" i="9"/>
  <c r="L58" i="9"/>
  <c r="H58" i="9"/>
  <c r="AX94" i="13" s="1"/>
  <c r="M57" i="9"/>
  <c r="L57" i="9"/>
  <c r="H57" i="9"/>
  <c r="AW94" i="13" s="1"/>
  <c r="M56" i="9"/>
  <c r="L56" i="9"/>
  <c r="H56" i="9"/>
  <c r="AV94" i="13" s="1"/>
  <c r="M55" i="9"/>
  <c r="L55" i="9"/>
  <c r="H55" i="9"/>
  <c r="M54" i="9"/>
  <c r="L54" i="9"/>
  <c r="H54" i="9"/>
  <c r="AT94" i="13" s="1"/>
  <c r="M53" i="9"/>
  <c r="L53" i="9"/>
  <c r="H53" i="9"/>
  <c r="AS165" i="13" s="1"/>
  <c r="M52" i="9"/>
  <c r="L52" i="9"/>
  <c r="H52" i="9"/>
  <c r="M51" i="9"/>
  <c r="L51" i="9"/>
  <c r="H51" i="9"/>
  <c r="M50" i="9"/>
  <c r="L50" i="9"/>
  <c r="H50" i="9"/>
  <c r="AQ99" i="13" s="1"/>
  <c r="M49" i="9"/>
  <c r="L49" i="9"/>
  <c r="H49" i="9"/>
  <c r="M48" i="9"/>
  <c r="L48" i="9"/>
  <c r="H48" i="9"/>
  <c r="M47" i="9"/>
  <c r="L47" i="9"/>
  <c r="H47" i="9"/>
  <c r="M46" i="9"/>
  <c r="L46" i="9"/>
  <c r="H46" i="9"/>
  <c r="AL165" i="13" s="1"/>
  <c r="M45" i="9"/>
  <c r="L45" i="9"/>
  <c r="H45" i="9"/>
  <c r="AK165" i="13" s="1"/>
  <c r="M44" i="9"/>
  <c r="L44" i="9"/>
  <c r="H44" i="9"/>
  <c r="AJ165" i="13" s="1"/>
  <c r="M43" i="9"/>
  <c r="L43" i="9"/>
  <c r="H43" i="9"/>
  <c r="AI165" i="13" s="1"/>
  <c r="M42" i="9"/>
  <c r="L42" i="9"/>
  <c r="H42" i="9"/>
  <c r="AH165" i="13" s="1"/>
  <c r="G42" i="9"/>
  <c r="G43" i="9" s="1"/>
  <c r="G44" i="9" s="1"/>
  <c r="G45" i="9" s="1"/>
  <c r="G46" i="9" s="1"/>
  <c r="G47" i="9" s="1"/>
  <c r="G48" i="9" s="1"/>
  <c r="G49" i="9" s="1"/>
  <c r="G50" i="9" s="1"/>
  <c r="G51" i="9" s="1"/>
  <c r="G52" i="9" s="1"/>
  <c r="G53" i="9" s="1"/>
  <c r="G54" i="9" s="1"/>
  <c r="G55" i="9" s="1"/>
  <c r="G56" i="9" s="1"/>
  <c r="G57" i="9" s="1"/>
  <c r="G58" i="9" s="1"/>
  <c r="G59" i="9" s="1"/>
  <c r="G60" i="9" s="1"/>
  <c r="G61" i="9" s="1"/>
  <c r="G62" i="9" s="1"/>
  <c r="G63" i="9" s="1"/>
  <c r="M41" i="9"/>
  <c r="L41" i="9"/>
  <c r="H41" i="9"/>
  <c r="G41" i="9"/>
  <c r="F41" i="9"/>
  <c r="F42" i="9" s="1"/>
  <c r="F43" i="9" s="1"/>
  <c r="F44" i="9" s="1"/>
  <c r="F45" i="9" s="1"/>
  <c r="F46" i="9" s="1"/>
  <c r="F47" i="9" s="1"/>
  <c r="F48" i="9" s="1"/>
  <c r="F49" i="9" s="1"/>
  <c r="F50" i="9" s="1"/>
  <c r="F51" i="9" s="1"/>
  <c r="F52" i="9" s="1"/>
  <c r="F53" i="9" s="1"/>
  <c r="F54" i="9" s="1"/>
  <c r="F55" i="9" s="1"/>
  <c r="F56" i="9" s="1"/>
  <c r="F57" i="9" s="1"/>
  <c r="F58" i="9" s="1"/>
  <c r="F59" i="9" s="1"/>
  <c r="F60" i="9" s="1"/>
  <c r="F61" i="9" s="1"/>
  <c r="F62" i="9" s="1"/>
  <c r="F63" i="9" s="1"/>
  <c r="D41" i="9"/>
  <c r="D42" i="9" s="1"/>
  <c r="C41" i="9"/>
  <c r="M40" i="9"/>
  <c r="L40" i="9"/>
  <c r="H40" i="9"/>
  <c r="AF165" i="13" s="1"/>
  <c r="M39" i="9"/>
  <c r="L39" i="9"/>
  <c r="H39" i="9"/>
  <c r="M38" i="9"/>
  <c r="L38" i="9"/>
  <c r="H38" i="9"/>
  <c r="AD165" i="13" s="1"/>
  <c r="M37" i="9"/>
  <c r="L37" i="9"/>
  <c r="H37" i="9"/>
  <c r="M36" i="9"/>
  <c r="L36" i="9"/>
  <c r="H36" i="9"/>
  <c r="AB165" i="13" s="1"/>
  <c r="M35" i="9"/>
  <c r="L35" i="9"/>
  <c r="H35" i="9"/>
  <c r="M34" i="9"/>
  <c r="L34" i="9"/>
  <c r="H34" i="9"/>
  <c r="Z165" i="13" s="1"/>
  <c r="M33" i="9"/>
  <c r="L33" i="9"/>
  <c r="H33" i="9"/>
  <c r="Y165" i="13" s="1"/>
  <c r="M32" i="9"/>
  <c r="L32" i="9"/>
  <c r="H32" i="9"/>
  <c r="X165" i="13" s="1"/>
  <c r="M31" i="9"/>
  <c r="L31" i="9"/>
  <c r="H31" i="9"/>
  <c r="W165" i="13" s="1"/>
  <c r="M30" i="9"/>
  <c r="L30" i="9"/>
  <c r="H30" i="9"/>
  <c r="V165" i="13" s="1"/>
  <c r="M29" i="9"/>
  <c r="L29" i="9"/>
  <c r="H29" i="9"/>
  <c r="U165" i="13" s="1"/>
  <c r="M28" i="9"/>
  <c r="L28" i="9"/>
  <c r="H28" i="9"/>
  <c r="T165" i="13" s="1"/>
  <c r="M27" i="9"/>
  <c r="L27" i="9"/>
  <c r="H27" i="9"/>
  <c r="M26" i="9"/>
  <c r="L26" i="9"/>
  <c r="H26" i="9"/>
  <c r="M25" i="9"/>
  <c r="L25" i="9"/>
  <c r="H25" i="9"/>
  <c r="Q165" i="13" s="1"/>
  <c r="M24" i="9"/>
  <c r="L24" i="9"/>
  <c r="H24" i="9"/>
  <c r="P165" i="13" s="1"/>
  <c r="M23" i="9"/>
  <c r="L23" i="9"/>
  <c r="H23" i="9"/>
  <c r="O165" i="13" s="1"/>
  <c r="M22" i="9"/>
  <c r="L22" i="9"/>
  <c r="H22" i="9"/>
  <c r="N165" i="13" s="1"/>
  <c r="M21" i="9"/>
  <c r="L21" i="9"/>
  <c r="H21" i="9"/>
  <c r="M20" i="9"/>
  <c r="L20" i="9"/>
  <c r="H20" i="9"/>
  <c r="L165" i="13" s="1"/>
  <c r="M19" i="9"/>
  <c r="L19" i="9"/>
  <c r="H19" i="9"/>
  <c r="M18" i="9"/>
  <c r="L18" i="9"/>
  <c r="H18" i="9"/>
  <c r="J165" i="13" s="1"/>
  <c r="M17" i="9"/>
  <c r="L17" i="9"/>
  <c r="H17" i="9"/>
  <c r="M16" i="9"/>
  <c r="L16" i="9"/>
  <c r="H16" i="9"/>
  <c r="H165" i="13" s="1"/>
  <c r="M15" i="9"/>
  <c r="L15" i="9"/>
  <c r="H15" i="9"/>
  <c r="M14" i="9"/>
  <c r="L14" i="9"/>
  <c r="H14" i="9"/>
  <c r="M13" i="9"/>
  <c r="L13" i="9"/>
  <c r="H13" i="9"/>
  <c r="M12" i="9"/>
  <c r="L12" i="9"/>
  <c r="H12" i="9"/>
  <c r="M11" i="9"/>
  <c r="L11" i="9"/>
  <c r="H11" i="9"/>
  <c r="M10" i="9"/>
  <c r="L10" i="9"/>
  <c r="H10" i="9"/>
  <c r="M9" i="9"/>
  <c r="L9" i="9"/>
  <c r="H9" i="9"/>
  <c r="M8" i="9"/>
  <c r="L8" i="9"/>
  <c r="H8" i="9"/>
  <c r="H7" i="9"/>
  <c r="H6" i="9"/>
  <c r="H5" i="9"/>
  <c r="H4" i="9"/>
  <c r="X26" i="25"/>
  <c r="AB26" i="25" s="1"/>
  <c r="W26" i="25"/>
  <c r="AA26" i="25" s="1"/>
  <c r="V26" i="25"/>
  <c r="Z26" i="25" s="1"/>
  <c r="F27" i="19"/>
  <c r="E27" i="19"/>
  <c r="D27" i="19"/>
  <c r="C27" i="19"/>
  <c r="B27" i="19"/>
  <c r="AB130" i="13"/>
  <c r="AA130" i="13"/>
  <c r="AE130" i="13"/>
  <c r="AD130" i="13"/>
  <c r="S130" i="13"/>
  <c r="R130" i="13"/>
  <c r="AF129" i="13"/>
  <c r="T129" i="13"/>
  <c r="AI129" i="13"/>
  <c r="AH129" i="13"/>
  <c r="W129" i="13"/>
  <c r="V129" i="13"/>
  <c r="K129" i="13"/>
  <c r="Z128" i="13"/>
  <c r="AF128" i="13"/>
  <c r="AD128" i="13"/>
  <c r="T128" i="13"/>
  <c r="R128" i="13"/>
  <c r="M128" i="13"/>
  <c r="H128" i="13"/>
  <c r="T125" i="13"/>
  <c r="R125" i="13"/>
  <c r="AI125" i="13"/>
  <c r="AH125" i="13"/>
  <c r="X125" i="13"/>
  <c r="W125" i="13"/>
  <c r="V125" i="13"/>
  <c r="U125" i="13"/>
  <c r="K125" i="13"/>
  <c r="J125" i="13"/>
  <c r="I125" i="13"/>
  <c r="AB124" i="13"/>
  <c r="Z124" i="13"/>
  <c r="N124" i="13"/>
  <c r="AE124" i="13"/>
  <c r="AD124" i="13"/>
  <c r="S124" i="13"/>
  <c r="R124" i="13"/>
  <c r="AI120" i="13"/>
  <c r="AH120" i="13"/>
  <c r="W120" i="13"/>
  <c r="V120" i="13"/>
  <c r="K120" i="13"/>
  <c r="J120" i="13"/>
  <c r="AA120" i="13"/>
  <c r="Z120" i="13"/>
  <c r="P120" i="13"/>
  <c r="O120" i="13"/>
  <c r="N120" i="13"/>
  <c r="M120" i="13"/>
  <c r="AE123" i="13"/>
  <c r="AD123" i="13"/>
  <c r="S123" i="13"/>
  <c r="R123" i="13"/>
  <c r="AI123" i="13"/>
  <c r="AH123" i="13"/>
  <c r="AG123" i="13"/>
  <c r="W123" i="13"/>
  <c r="V123" i="13"/>
  <c r="U123" i="13"/>
  <c r="K123" i="13"/>
  <c r="J123" i="13"/>
  <c r="I123" i="13"/>
  <c r="AA119" i="13"/>
  <c r="Z119" i="13"/>
  <c r="O119" i="13"/>
  <c r="N119" i="13"/>
  <c r="AE159" i="13"/>
  <c r="AD159" i="13"/>
  <c r="AC119" i="13"/>
  <c r="Q119" i="13"/>
  <c r="J119" i="13"/>
  <c r="AI130" i="13"/>
  <c r="AH130" i="13"/>
  <c r="AC130" i="13"/>
  <c r="X130" i="13"/>
  <c r="W130" i="13"/>
  <c r="V130" i="13"/>
  <c r="U130" i="13"/>
  <c r="Q130" i="13"/>
  <c r="O130" i="13"/>
  <c r="N130" i="13"/>
  <c r="L130" i="13"/>
  <c r="K130" i="13"/>
  <c r="AG129" i="13"/>
  <c r="U129" i="13"/>
  <c r="J129" i="13"/>
  <c r="I129" i="13"/>
  <c r="AI128" i="13"/>
  <c r="Y128" i="13"/>
  <c r="X128" i="13"/>
  <c r="W128" i="13"/>
  <c r="U128" i="13"/>
  <c r="K128" i="13"/>
  <c r="J128" i="13"/>
  <c r="I128" i="13"/>
  <c r="AD125" i="13"/>
  <c r="AA125" i="13"/>
  <c r="O125" i="13"/>
  <c r="AI124" i="13"/>
  <c r="AH124" i="13"/>
  <c r="AC124" i="13"/>
  <c r="W124" i="13"/>
  <c r="Q124" i="13"/>
  <c r="K124" i="13"/>
  <c r="AA123" i="13"/>
  <c r="O123" i="13"/>
  <c r="AG120" i="13"/>
  <c r="AE120" i="13"/>
  <c r="S120" i="13"/>
  <c r="I120" i="13"/>
  <c r="AI119" i="13"/>
  <c r="W119" i="13"/>
  <c r="K119" i="13"/>
  <c r="AI112" i="13"/>
  <c r="AH112" i="13"/>
  <c r="AG112" i="13"/>
  <c r="AF112" i="13"/>
  <c r="AE112" i="13"/>
  <c r="AD112" i="13"/>
  <c r="AC112" i="13"/>
  <c r="AB112" i="13"/>
  <c r="AA112" i="13"/>
  <c r="Z112" i="13"/>
  <c r="Y112" i="13"/>
  <c r="X112" i="13"/>
  <c r="W112" i="13"/>
  <c r="V112" i="13"/>
  <c r="U112" i="13"/>
  <c r="T112" i="13"/>
  <c r="S112" i="13"/>
  <c r="R112" i="13"/>
  <c r="Q112" i="13"/>
  <c r="P112" i="13"/>
  <c r="O112" i="13"/>
  <c r="N112" i="13"/>
  <c r="M112" i="13"/>
  <c r="L112" i="13"/>
  <c r="K112" i="13"/>
  <c r="J112" i="13"/>
  <c r="I112" i="13"/>
  <c r="H112" i="13"/>
  <c r="AI111" i="13"/>
  <c r="AH111" i="13"/>
  <c r="AG111" i="13"/>
  <c r="AF111" i="13"/>
  <c r="AE111" i="13"/>
  <c r="AD111" i="13"/>
  <c r="AC111" i="13"/>
  <c r="AB111" i="13"/>
  <c r="AA111" i="13"/>
  <c r="Z111" i="13"/>
  <c r="Y111" i="13"/>
  <c r="X111" i="13"/>
  <c r="W111" i="13"/>
  <c r="V111" i="13"/>
  <c r="U111" i="13"/>
  <c r="T111" i="13"/>
  <c r="S111" i="13"/>
  <c r="R111" i="13"/>
  <c r="Q111" i="13"/>
  <c r="P111" i="13"/>
  <c r="O111" i="13"/>
  <c r="N111" i="13"/>
  <c r="M111" i="13"/>
  <c r="L111" i="13"/>
  <c r="K111" i="13"/>
  <c r="J111" i="13"/>
  <c r="I111" i="13"/>
  <c r="H111" i="13"/>
  <c r="AI108" i="13"/>
  <c r="AM109" i="13" s="1"/>
  <c r="AH108" i="13"/>
  <c r="AL109" i="13" s="1"/>
  <c r="AG108" i="13"/>
  <c r="AF108" i="13"/>
  <c r="AJ109" i="13" s="1"/>
  <c r="AE108" i="13"/>
  <c r="AD108" i="13"/>
  <c r="AC108" i="13"/>
  <c r="AB108" i="13"/>
  <c r="AA108" i="13"/>
  <c r="Z108" i="13"/>
  <c r="Y108" i="13"/>
  <c r="X108" i="13"/>
  <c r="W108" i="13"/>
  <c r="V108" i="13"/>
  <c r="U108" i="13"/>
  <c r="T108" i="13"/>
  <c r="S108" i="13"/>
  <c r="R108" i="13"/>
  <c r="Q108" i="13"/>
  <c r="P108" i="13"/>
  <c r="O108" i="13"/>
  <c r="N108" i="13"/>
  <c r="M108" i="13"/>
  <c r="L108" i="13"/>
  <c r="K108" i="13"/>
  <c r="J108" i="13"/>
  <c r="I108" i="13"/>
  <c r="H108" i="13"/>
  <c r="AU107" i="13"/>
  <c r="AT107" i="13"/>
  <c r="AS107" i="13"/>
  <c r="AI106" i="13"/>
  <c r="AH106" i="13"/>
  <c r="AG106" i="13"/>
  <c r="AF106" i="13"/>
  <c r="AE106" i="13"/>
  <c r="AD106" i="13"/>
  <c r="AC106" i="13"/>
  <c r="AB106" i="13"/>
  <c r="AA106" i="13"/>
  <c r="Z106" i="13"/>
  <c r="Y106" i="13"/>
  <c r="X106" i="13"/>
  <c r="W106" i="13"/>
  <c r="V106" i="13"/>
  <c r="U106" i="13"/>
  <c r="T106" i="13"/>
  <c r="S106" i="13"/>
  <c r="R106" i="13"/>
  <c r="Q106" i="13"/>
  <c r="P106" i="13"/>
  <c r="O106" i="13"/>
  <c r="O105" i="13" s="1"/>
  <c r="N106" i="13"/>
  <c r="M106" i="13"/>
  <c r="L106" i="13"/>
  <c r="K106" i="13"/>
  <c r="J106" i="13"/>
  <c r="I106" i="13"/>
  <c r="H106" i="13"/>
  <c r="AH102" i="13"/>
  <c r="AG102" i="13"/>
  <c r="AF102" i="13"/>
  <c r="AE102" i="13"/>
  <c r="AD102" i="13"/>
  <c r="AC102" i="13"/>
  <c r="AB102" i="13"/>
  <c r="AA102" i="13"/>
  <c r="Z102" i="13"/>
  <c r="Y102" i="13"/>
  <c r="X102" i="13"/>
  <c r="W102" i="13"/>
  <c r="V102" i="13"/>
  <c r="U102" i="13"/>
  <c r="T102" i="13"/>
  <c r="S102" i="13"/>
  <c r="R102" i="13"/>
  <c r="Q102" i="13"/>
  <c r="P102" i="13"/>
  <c r="O102" i="13"/>
  <c r="N102" i="13"/>
  <c r="M102" i="13"/>
  <c r="L102" i="13"/>
  <c r="K102" i="13"/>
  <c r="J102" i="13"/>
  <c r="I102" i="13"/>
  <c r="H102" i="13"/>
  <c r="AR94" i="13"/>
  <c r="AI93" i="13"/>
  <c r="AH93" i="13"/>
  <c r="AG93" i="13"/>
  <c r="AF93" i="13"/>
  <c r="AE93" i="13"/>
  <c r="AD93" i="13"/>
  <c r="AC93" i="13"/>
  <c r="AB93" i="13"/>
  <c r="AA93" i="13"/>
  <c r="Z93" i="13"/>
  <c r="Y93" i="13"/>
  <c r="X93" i="13"/>
  <c r="W93" i="13"/>
  <c r="V93" i="13"/>
  <c r="U93" i="13"/>
  <c r="T93" i="13"/>
  <c r="S93" i="13"/>
  <c r="R93" i="13"/>
  <c r="Q93" i="13"/>
  <c r="P93" i="13"/>
  <c r="O93" i="13"/>
  <c r="N93" i="13"/>
  <c r="M93" i="13"/>
  <c r="L93" i="13"/>
  <c r="K93" i="13"/>
  <c r="J93" i="13"/>
  <c r="I93" i="13"/>
  <c r="H93" i="13"/>
  <c r="AI90" i="13"/>
  <c r="AM91" i="13" s="1"/>
  <c r="AH90" i="13"/>
  <c r="AL91" i="13" s="1"/>
  <c r="AG90" i="13"/>
  <c r="AK91" i="13" s="1"/>
  <c r="AF90" i="13"/>
  <c r="AE90" i="13"/>
  <c r="AD90" i="13"/>
  <c r="AC90" i="13"/>
  <c r="AB90" i="13"/>
  <c r="AA90" i="13"/>
  <c r="Z90" i="13"/>
  <c r="Y90" i="13"/>
  <c r="X90" i="13"/>
  <c r="W90" i="13"/>
  <c r="V90" i="13"/>
  <c r="U90" i="13"/>
  <c r="T90" i="13"/>
  <c r="S90" i="13"/>
  <c r="R90" i="13"/>
  <c r="Q90" i="13"/>
  <c r="P90" i="13"/>
  <c r="O90" i="13"/>
  <c r="N90" i="13"/>
  <c r="M90" i="13"/>
  <c r="L90" i="13"/>
  <c r="K90" i="13"/>
  <c r="J90" i="13"/>
  <c r="I90" i="13"/>
  <c r="H90" i="13"/>
  <c r="O18" i="17" s="1"/>
  <c r="AI88" i="13"/>
  <c r="AH88" i="13"/>
  <c r="AG88" i="13"/>
  <c r="AF88" i="13"/>
  <c r="AE88" i="13"/>
  <c r="AD88" i="13"/>
  <c r="AD89" i="13" s="1"/>
  <c r="AC88" i="13"/>
  <c r="AB88" i="13"/>
  <c r="AA88" i="13"/>
  <c r="Z88" i="13"/>
  <c r="Y88" i="13"/>
  <c r="X88" i="13"/>
  <c r="W88" i="13"/>
  <c r="V88" i="13"/>
  <c r="U88" i="13"/>
  <c r="T88" i="13"/>
  <c r="S88" i="13"/>
  <c r="R88" i="13"/>
  <c r="R89" i="13" s="1"/>
  <c r="Q88" i="13"/>
  <c r="P88" i="13"/>
  <c r="O88" i="13"/>
  <c r="N88" i="13"/>
  <c r="M88" i="13"/>
  <c r="L88" i="13"/>
  <c r="K88" i="13"/>
  <c r="J88" i="13"/>
  <c r="I88" i="13"/>
  <c r="H88" i="13"/>
  <c r="AI86" i="13"/>
  <c r="AH86" i="13"/>
  <c r="AG86" i="13"/>
  <c r="AG87" i="13" s="1"/>
  <c r="AF86" i="13"/>
  <c r="AE86" i="13"/>
  <c r="AD86" i="13"/>
  <c r="AD87" i="13" s="1"/>
  <c r="AC86" i="13"/>
  <c r="AB86" i="13"/>
  <c r="AA86" i="13"/>
  <c r="Z86" i="13"/>
  <c r="Y86" i="13"/>
  <c r="X86" i="13"/>
  <c r="W86" i="13"/>
  <c r="V86" i="13"/>
  <c r="U86" i="13"/>
  <c r="T86" i="13"/>
  <c r="S86" i="13"/>
  <c r="R86" i="13"/>
  <c r="R87" i="13" s="1"/>
  <c r="Q86" i="13"/>
  <c r="P86" i="13"/>
  <c r="O86" i="13"/>
  <c r="N86" i="13"/>
  <c r="M86" i="13"/>
  <c r="L86" i="13"/>
  <c r="K86" i="13"/>
  <c r="J86" i="13"/>
  <c r="I86" i="13"/>
  <c r="H86" i="13"/>
  <c r="AI85" i="13"/>
  <c r="AH85" i="13"/>
  <c r="AG85" i="13"/>
  <c r="AF85" i="13"/>
  <c r="AE85" i="13"/>
  <c r="AD85" i="13"/>
  <c r="AC85" i="13"/>
  <c r="AB85" i="13"/>
  <c r="AA85" i="13"/>
  <c r="Z85" i="13"/>
  <c r="Y85" i="13"/>
  <c r="X85" i="13"/>
  <c r="W85" i="13"/>
  <c r="V85" i="13"/>
  <c r="U85" i="13"/>
  <c r="T85" i="13"/>
  <c r="S85" i="13"/>
  <c r="R85" i="13"/>
  <c r="Q85" i="13"/>
  <c r="P85" i="13"/>
  <c r="O85" i="13"/>
  <c r="N85" i="13"/>
  <c r="M85" i="13"/>
  <c r="L85" i="13"/>
  <c r="K85" i="13"/>
  <c r="J85" i="13"/>
  <c r="I85" i="13"/>
  <c r="H85" i="13"/>
  <c r="AI80" i="13"/>
  <c r="AH80" i="13"/>
  <c r="AG80" i="13"/>
  <c r="AF80" i="13"/>
  <c r="J18" i="29" s="1"/>
  <c r="AE80" i="13"/>
  <c r="AD80" i="13"/>
  <c r="AC80" i="13"/>
  <c r="AB80" i="13"/>
  <c r="AA80" i="13"/>
  <c r="Z80" i="13"/>
  <c r="Y80" i="13"/>
  <c r="X80" i="13"/>
  <c r="W80" i="13"/>
  <c r="V80" i="13"/>
  <c r="U80" i="13"/>
  <c r="T80" i="13"/>
  <c r="S80" i="13"/>
  <c r="R80" i="13"/>
  <c r="Q80" i="13"/>
  <c r="P80" i="13"/>
  <c r="O80" i="13"/>
  <c r="N80" i="13"/>
  <c r="M80" i="13"/>
  <c r="L80" i="13"/>
  <c r="K80" i="13"/>
  <c r="J80" i="13"/>
  <c r="I80" i="13"/>
  <c r="H80" i="13"/>
  <c r="AI79" i="13"/>
  <c r="AH79" i="13"/>
  <c r="AG79" i="13"/>
  <c r="AF79" i="13"/>
  <c r="AE79" i="13"/>
  <c r="AD79" i="13"/>
  <c r="AC79" i="13"/>
  <c r="AB79" i="13"/>
  <c r="AA79" i="13"/>
  <c r="Z79" i="13"/>
  <c r="Y79" i="13"/>
  <c r="X79" i="13"/>
  <c r="W79" i="13"/>
  <c r="V79" i="13"/>
  <c r="U79" i="13"/>
  <c r="T79" i="13"/>
  <c r="S79" i="13"/>
  <c r="R79" i="13"/>
  <c r="R82" i="13" s="1"/>
  <c r="Q79" i="13"/>
  <c r="P79" i="13"/>
  <c r="O79" i="13"/>
  <c r="N79" i="13"/>
  <c r="M79" i="13"/>
  <c r="L79" i="13"/>
  <c r="K79" i="13"/>
  <c r="J79" i="13"/>
  <c r="I79" i="13"/>
  <c r="H79" i="13"/>
  <c r="AU78" i="13"/>
  <c r="AT78" i="13"/>
  <c r="AS78" i="13"/>
  <c r="AR78" i="13"/>
  <c r="AQ78" i="13"/>
  <c r="AP78" i="13"/>
  <c r="AN78" i="13"/>
  <c r="AM78" i="13"/>
  <c r="AL78" i="13"/>
  <c r="AK78" i="13"/>
  <c r="AI78" i="13"/>
  <c r="AH78" i="13"/>
  <c r="AG78" i="13"/>
  <c r="AF78" i="13"/>
  <c r="AE78" i="13"/>
  <c r="AD78" i="13"/>
  <c r="AC78" i="13"/>
  <c r="AB78" i="13"/>
  <c r="AA78" i="13"/>
  <c r="Z78" i="13"/>
  <c r="Y78" i="13"/>
  <c r="X78" i="13"/>
  <c r="W78" i="13"/>
  <c r="V78" i="13"/>
  <c r="U78" i="13"/>
  <c r="T78" i="13"/>
  <c r="S78" i="13"/>
  <c r="R78" i="13"/>
  <c r="Q78" i="13"/>
  <c r="P78" i="13"/>
  <c r="O78" i="13"/>
  <c r="N78" i="13"/>
  <c r="M78" i="13"/>
  <c r="L78" i="13"/>
  <c r="K78" i="13"/>
  <c r="J78" i="13"/>
  <c r="I78" i="13"/>
  <c r="H78" i="13"/>
  <c r="AU165" i="13" l="1"/>
  <c r="AW126" i="13"/>
  <c r="AX126" i="13"/>
  <c r="AV126" i="13"/>
  <c r="AY126" i="13"/>
  <c r="AR126" i="13"/>
  <c r="AR131" i="13" s="1"/>
  <c r="AR133" i="13" s="1"/>
  <c r="AS126" i="13"/>
  <c r="AT126" i="13"/>
  <c r="AU126" i="13"/>
  <c r="AJ91" i="13"/>
  <c r="S109" i="13"/>
  <c r="AG105" i="13"/>
  <c r="AX111" i="13"/>
  <c r="L25" i="19" s="1"/>
  <c r="L26" i="19"/>
  <c r="G14" i="26"/>
  <c r="U89" i="13"/>
  <c r="U87" i="13"/>
  <c r="AI87" i="13"/>
  <c r="V25" i="25"/>
  <c r="Z25" i="25" s="1"/>
  <c r="AA105" i="13"/>
  <c r="I105" i="13"/>
  <c r="I87" i="13"/>
  <c r="K87" i="13"/>
  <c r="H107" i="13"/>
  <c r="W87" i="13"/>
  <c r="I89" i="13"/>
  <c r="AC109" i="13"/>
  <c r="Q109" i="13"/>
  <c r="AE109" i="13"/>
  <c r="N8" i="9"/>
  <c r="O114" i="13"/>
  <c r="AE103" i="13"/>
  <c r="M89" i="13"/>
  <c r="Y89" i="13"/>
  <c r="R105" i="13"/>
  <c r="AD105" i="13"/>
  <c r="L87" i="13"/>
  <c r="X87" i="13"/>
  <c r="O121" i="13"/>
  <c r="T105" i="13"/>
  <c r="U109" i="13"/>
  <c r="AE105" i="13"/>
  <c r="Q89" i="13"/>
  <c r="AC89" i="13"/>
  <c r="N121" i="13"/>
  <c r="Q82" i="13"/>
  <c r="Q81" i="13" s="1"/>
  <c r="AC82" i="13"/>
  <c r="S105" i="13"/>
  <c r="S82" i="13"/>
  <c r="S81" i="13" s="1"/>
  <c r="AE82" i="13"/>
  <c r="AE81" i="13" s="1"/>
  <c r="Q87" i="13"/>
  <c r="AC87" i="13"/>
  <c r="AD107" i="13"/>
  <c r="AA121" i="13"/>
  <c r="I119" i="13"/>
  <c r="I121" i="13" s="1"/>
  <c r="U119" i="13"/>
  <c r="AG119" i="13"/>
  <c r="AG121" i="13" s="1"/>
  <c r="N87" i="13"/>
  <c r="Z87" i="13"/>
  <c r="AI82" i="13"/>
  <c r="AM83" i="13" s="1"/>
  <c r="O87" i="13"/>
  <c r="AA87" i="13"/>
  <c r="M114" i="13"/>
  <c r="Y114" i="13"/>
  <c r="L82" i="13"/>
  <c r="L81" i="13" s="1"/>
  <c r="H123" i="13"/>
  <c r="J8" i="26" s="1"/>
  <c r="P123" i="13"/>
  <c r="O89" i="13"/>
  <c r="Y120" i="13"/>
  <c r="AG125" i="13"/>
  <c r="N89" i="13"/>
  <c r="Z89" i="13"/>
  <c r="O124" i="13"/>
  <c r="AA124" i="13"/>
  <c r="S128" i="13"/>
  <c r="AE128" i="13"/>
  <c r="O128" i="13"/>
  <c r="AA89" i="13"/>
  <c r="E95" i="9"/>
  <c r="F95" i="9" s="1"/>
  <c r="E101" i="9"/>
  <c r="F101" i="9" s="1"/>
  <c r="AD119" i="13"/>
  <c r="R159" i="13"/>
  <c r="I96" i="13"/>
  <c r="AF105" i="13"/>
  <c r="AG73" i="13"/>
  <c r="J99" i="13"/>
  <c r="AC103" i="13"/>
  <c r="W99" i="13"/>
  <c r="W96" i="13"/>
  <c r="AI99" i="13"/>
  <c r="H105" i="13"/>
  <c r="T107" i="13"/>
  <c r="AF107" i="13"/>
  <c r="H82" i="13"/>
  <c r="J87" i="13"/>
  <c r="V87" i="13"/>
  <c r="AB89" i="13"/>
  <c r="X96" i="13"/>
  <c r="AB123" i="13"/>
  <c r="L124" i="13"/>
  <c r="X124" i="13"/>
  <c r="AJ103" i="13"/>
  <c r="J105" i="13"/>
  <c r="V105" i="13"/>
  <c r="AH105" i="13"/>
  <c r="M123" i="13"/>
  <c r="Y123" i="13"/>
  <c r="Q120" i="13"/>
  <c r="Q121" i="13" s="1"/>
  <c r="AC120" i="13"/>
  <c r="AC121" i="13" s="1"/>
  <c r="I124" i="13"/>
  <c r="U124" i="13"/>
  <c r="U131" i="13" s="1"/>
  <c r="AG124" i="13"/>
  <c r="M125" i="13"/>
  <c r="Y125" i="13"/>
  <c r="AG128" i="13"/>
  <c r="I130" i="13"/>
  <c r="AG130" i="13"/>
  <c r="N114" i="13"/>
  <c r="V119" i="13"/>
  <c r="V121" i="13" s="1"/>
  <c r="AH119" i="13"/>
  <c r="AH121" i="13" s="1"/>
  <c r="N123" i="13"/>
  <c r="Z123" i="13"/>
  <c r="R120" i="13"/>
  <c r="AD120" i="13"/>
  <c r="J124" i="13"/>
  <c r="V124" i="13"/>
  <c r="N125" i="13"/>
  <c r="Z125" i="13"/>
  <c r="N128" i="13"/>
  <c r="V128" i="13"/>
  <c r="M12" i="26" s="1"/>
  <c r="AH128" i="13"/>
  <c r="AH131" i="13" s="1"/>
  <c r="R129" i="13"/>
  <c r="R131" i="13" s="1"/>
  <c r="AD129" i="13"/>
  <c r="AD131" i="13" s="1"/>
  <c r="N129" i="13"/>
  <c r="Z129" i="13"/>
  <c r="Z130" i="13"/>
  <c r="J130" i="13"/>
  <c r="AE87" i="13"/>
  <c r="M10" i="26"/>
  <c r="Q128" i="13"/>
  <c r="AC128" i="13"/>
  <c r="AU94" i="13"/>
  <c r="AF99" i="13"/>
  <c r="P99" i="13"/>
  <c r="AB99" i="13"/>
  <c r="J41" i="9"/>
  <c r="M99" i="13"/>
  <c r="Y99" i="13"/>
  <c r="N10" i="9"/>
  <c r="N15" i="9"/>
  <c r="I41" i="9"/>
  <c r="N49" i="9"/>
  <c r="AO165" i="13"/>
  <c r="N19" i="9"/>
  <c r="K165" i="13"/>
  <c r="N27" i="9"/>
  <c r="S165" i="13"/>
  <c r="N41" i="9"/>
  <c r="AG99" i="13"/>
  <c r="AG165" i="13"/>
  <c r="N12" i="9"/>
  <c r="N39" i="9"/>
  <c r="AE165" i="13"/>
  <c r="AA99" i="13"/>
  <c r="N50" i="9"/>
  <c r="AP165" i="13"/>
  <c r="N53" i="9"/>
  <c r="N17" i="9"/>
  <c r="I165" i="13"/>
  <c r="N54" i="9"/>
  <c r="AT165" i="13"/>
  <c r="N58" i="9"/>
  <c r="N35" i="9"/>
  <c r="AA165" i="13"/>
  <c r="N21" i="9"/>
  <c r="M165" i="13"/>
  <c r="AS94" i="13"/>
  <c r="N36" i="9"/>
  <c r="N47" i="9"/>
  <c r="AM165" i="13"/>
  <c r="N51" i="9"/>
  <c r="AQ165" i="13"/>
  <c r="N37" i="9"/>
  <c r="AC165" i="13"/>
  <c r="N59" i="9"/>
  <c r="N26" i="9"/>
  <c r="R165" i="13"/>
  <c r="N33" i="9"/>
  <c r="G103" i="9"/>
  <c r="AN165" i="13"/>
  <c r="G104" i="9"/>
  <c r="AR165" i="13"/>
  <c r="N18" i="9"/>
  <c r="N56" i="9"/>
  <c r="N60" i="9"/>
  <c r="S87" i="13"/>
  <c r="Q91" i="13"/>
  <c r="AC91" i="13"/>
  <c r="AD103" i="13"/>
  <c r="V109" i="13"/>
  <c r="AH109" i="13"/>
  <c r="AD91" i="13"/>
  <c r="J121" i="13"/>
  <c r="J12" i="26"/>
  <c r="T119" i="13"/>
  <c r="AF119" i="13"/>
  <c r="L123" i="13"/>
  <c r="X123" i="13"/>
  <c r="AB120" i="13"/>
  <c r="H124" i="13"/>
  <c r="T124" i="13"/>
  <c r="AF124" i="13"/>
  <c r="L125" i="13"/>
  <c r="H130" i="13"/>
  <c r="T130" i="13"/>
  <c r="M14" i="26" s="1"/>
  <c r="AF130" i="13"/>
  <c r="U103" i="13"/>
  <c r="AG103" i="13"/>
  <c r="N159" i="13"/>
  <c r="Z159" i="13"/>
  <c r="Y82" i="13"/>
  <c r="Y81" i="13" s="1"/>
  <c r="AC96" i="13"/>
  <c r="AC95" i="13" s="1"/>
  <c r="Z103" i="13"/>
  <c r="I107" i="13"/>
  <c r="U107" i="13"/>
  <c r="N109" i="13"/>
  <c r="Z109" i="13"/>
  <c r="J114" i="13"/>
  <c r="J113" i="13" s="1"/>
  <c r="R119" i="13"/>
  <c r="M82" i="13"/>
  <c r="M81" i="13" s="1"/>
  <c r="P89" i="13"/>
  <c r="AA103" i="13"/>
  <c r="AI103" i="13"/>
  <c r="AB119" i="13"/>
  <c r="T123" i="13"/>
  <c r="M8" i="26" s="1"/>
  <c r="AF123" i="13"/>
  <c r="P8" i="26" s="1"/>
  <c r="L120" i="13"/>
  <c r="K5" i="26" s="1"/>
  <c r="X120" i="13"/>
  <c r="P124" i="13"/>
  <c r="L9" i="26" s="1"/>
  <c r="H125" i="13"/>
  <c r="J10" i="26" s="1"/>
  <c r="AF125" i="13"/>
  <c r="P128" i="13"/>
  <c r="AB128" i="13"/>
  <c r="P130" i="13"/>
  <c r="L14" i="26" s="1"/>
  <c r="M87" i="13"/>
  <c r="K89" i="13"/>
  <c r="W91" i="13"/>
  <c r="AI91" i="13"/>
  <c r="Q96" i="13"/>
  <c r="Q95" i="13" s="1"/>
  <c r="K105" i="13"/>
  <c r="W105" i="13"/>
  <c r="AI105" i="13"/>
  <c r="P105" i="13"/>
  <c r="AB105" i="13"/>
  <c r="M119" i="13"/>
  <c r="M121" i="13" s="1"/>
  <c r="Y119" i="13"/>
  <c r="AE89" i="13"/>
  <c r="Z121" i="13"/>
  <c r="E5" i="19"/>
  <c r="B5" i="19"/>
  <c r="H5" i="19"/>
  <c r="AG82" i="13"/>
  <c r="T103" i="13"/>
  <c r="AF103" i="13"/>
  <c r="Q105" i="13"/>
  <c r="Q114" i="13"/>
  <c r="AC114" i="13"/>
  <c r="J159" i="13"/>
  <c r="V159" i="13"/>
  <c r="AH159" i="13"/>
  <c r="R81" i="13"/>
  <c r="O91" i="13"/>
  <c r="AA91" i="13"/>
  <c r="AH103" i="13"/>
  <c r="T82" i="13"/>
  <c r="T81" i="13" s="1"/>
  <c r="AH99" i="13"/>
  <c r="U82" i="13"/>
  <c r="K11" i="26"/>
  <c r="N11" i="26"/>
  <c r="O96" i="13"/>
  <c r="O95" i="13" s="1"/>
  <c r="AA96" i="13"/>
  <c r="AA95" i="13" s="1"/>
  <c r="Y103" i="13"/>
  <c r="U105" i="13"/>
  <c r="W109" i="13"/>
  <c r="AI109" i="13"/>
  <c r="N82" i="13"/>
  <c r="R83" i="13" s="1"/>
  <c r="O82" i="13"/>
  <c r="O81" i="13" s="1"/>
  <c r="AA82" i="13"/>
  <c r="AA81" i="13" s="1"/>
  <c r="AF82" i="13"/>
  <c r="H11" i="19"/>
  <c r="AH87" i="13"/>
  <c r="S91" i="13"/>
  <c r="AE91" i="13"/>
  <c r="Z105" i="13"/>
  <c r="R107" i="13"/>
  <c r="X82" i="13"/>
  <c r="E30" i="17"/>
  <c r="S107" i="13"/>
  <c r="M109" i="13"/>
  <c r="Y109" i="13"/>
  <c r="P159" i="13"/>
  <c r="L128" i="13"/>
  <c r="H129" i="13"/>
  <c r="J13" i="26" s="1"/>
  <c r="P129" i="13"/>
  <c r="AB129" i="13"/>
  <c r="Z82" i="13"/>
  <c r="Z81" i="13" s="1"/>
  <c r="U91" i="13"/>
  <c r="AG91" i="13"/>
  <c r="Q123" i="13"/>
  <c r="AC123" i="13"/>
  <c r="U120" i="13"/>
  <c r="M124" i="13"/>
  <c r="Y124" i="13"/>
  <c r="Q125" i="13"/>
  <c r="AC125" i="13"/>
  <c r="Q129" i="13"/>
  <c r="AC129" i="13"/>
  <c r="M129" i="13"/>
  <c r="Y129" i="13"/>
  <c r="M130" i="13"/>
  <c r="K14" i="26" s="1"/>
  <c r="Y130" i="13"/>
  <c r="V99" i="13"/>
  <c r="AG89" i="13"/>
  <c r="V89" i="13"/>
  <c r="Q99" i="13"/>
  <c r="O109" i="13"/>
  <c r="AA109" i="13"/>
  <c r="I114" i="13"/>
  <c r="I113" i="13" s="1"/>
  <c r="U114" i="13"/>
  <c r="K131" i="13"/>
  <c r="W131" i="13"/>
  <c r="AI131" i="13"/>
  <c r="W121" i="13"/>
  <c r="S125" i="13"/>
  <c r="AE125" i="13"/>
  <c r="AA128" i="13"/>
  <c r="N12" i="26" s="1"/>
  <c r="S129" i="13"/>
  <c r="AE129" i="13"/>
  <c r="O129" i="13"/>
  <c r="AA129" i="13"/>
  <c r="AE107" i="13"/>
  <c r="K114" i="13"/>
  <c r="K113" i="13" s="1"/>
  <c r="W114" i="13"/>
  <c r="AI114" i="13"/>
  <c r="O99" i="13"/>
  <c r="I82" i="13"/>
  <c r="F13" i="19"/>
  <c r="M91" i="13"/>
  <c r="Y87" i="13"/>
  <c r="N105" i="13"/>
  <c r="R109" i="13"/>
  <c r="AD109" i="13"/>
  <c r="AD82" i="13"/>
  <c r="AG74" i="13"/>
  <c r="AG107" i="13"/>
  <c r="N34" i="9"/>
  <c r="G102" i="9"/>
  <c r="N48" i="9"/>
  <c r="N62" i="9"/>
  <c r="H74" i="9"/>
  <c r="D37" i="17" s="1"/>
  <c r="N30" i="9"/>
  <c r="N38" i="9"/>
  <c r="N42" i="9"/>
  <c r="H73" i="9"/>
  <c r="C37" i="17" s="1"/>
  <c r="N13" i="9"/>
  <c r="G97" i="9"/>
  <c r="N31" i="9"/>
  <c r="N45" i="9"/>
  <c r="N63" i="9"/>
  <c r="H82" i="9"/>
  <c r="L37" i="17" s="1"/>
  <c r="K99" i="13"/>
  <c r="G98" i="9"/>
  <c r="N43" i="9"/>
  <c r="N61" i="9"/>
  <c r="N14" i="9"/>
  <c r="N24" i="9"/>
  <c r="N25" i="9"/>
  <c r="G100" i="9"/>
  <c r="N57" i="9"/>
  <c r="N23" i="9"/>
  <c r="AC99" i="13"/>
  <c r="N9" i="9"/>
  <c r="N11" i="9"/>
  <c r="N29" i="9"/>
  <c r="N46" i="9"/>
  <c r="N22" i="9"/>
  <c r="G101" i="9"/>
  <c r="N55" i="9"/>
  <c r="J42" i="9"/>
  <c r="D43" i="9"/>
  <c r="H71" i="9"/>
  <c r="H75" i="9"/>
  <c r="E37" i="17" s="1"/>
  <c r="H79" i="9"/>
  <c r="I37" i="17" s="1"/>
  <c r="H83" i="9"/>
  <c r="M37" i="17" s="1"/>
  <c r="H72" i="9"/>
  <c r="B37" i="17" s="1"/>
  <c r="H76" i="9"/>
  <c r="H80" i="9"/>
  <c r="J37" i="17" s="1"/>
  <c r="H84" i="9"/>
  <c r="G95" i="9"/>
  <c r="C42" i="9"/>
  <c r="G96" i="9"/>
  <c r="N16" i="9"/>
  <c r="N28" i="9"/>
  <c r="N40" i="9"/>
  <c r="N52" i="9"/>
  <c r="H77" i="9"/>
  <c r="G37" i="17" s="1"/>
  <c r="H81" i="9"/>
  <c r="K37" i="17" s="1"/>
  <c r="G99" i="9"/>
  <c r="N20" i="9"/>
  <c r="N32" i="9"/>
  <c r="N44" i="9"/>
  <c r="H78" i="9"/>
  <c r="H37" i="17" s="1"/>
  <c r="F5" i="19"/>
  <c r="K121" i="13"/>
  <c r="AK109" i="13"/>
  <c r="D5" i="19"/>
  <c r="P82" i="13"/>
  <c r="AC81" i="13"/>
  <c r="M105" i="13"/>
  <c r="M107" i="13"/>
  <c r="Y105" i="13"/>
  <c r="Y107" i="13"/>
  <c r="D11" i="17"/>
  <c r="E18" i="29"/>
  <c r="V20" i="25" s="1"/>
  <c r="Z20" i="25" s="1"/>
  <c r="C6" i="19"/>
  <c r="B10" i="19"/>
  <c r="E10" i="19"/>
  <c r="H10" i="19"/>
  <c r="J89" i="13"/>
  <c r="AH89" i="13"/>
  <c r="U99" i="13"/>
  <c r="AG96" i="13"/>
  <c r="H11" i="17"/>
  <c r="I18" i="29"/>
  <c r="V24" i="25" s="1"/>
  <c r="Z24" i="25" s="1"/>
  <c r="G6" i="19"/>
  <c r="AC105" i="13"/>
  <c r="AE119" i="13"/>
  <c r="AE121" i="13" s="1"/>
  <c r="J96" i="13"/>
  <c r="I99" i="13"/>
  <c r="AB82" i="13"/>
  <c r="G5" i="19"/>
  <c r="V91" i="13"/>
  <c r="Q107" i="13"/>
  <c r="AC107" i="13"/>
  <c r="V82" i="13"/>
  <c r="C10" i="19"/>
  <c r="N91" i="13"/>
  <c r="Z91" i="13"/>
  <c r="Y91" i="13"/>
  <c r="R99" i="13"/>
  <c r="P96" i="13"/>
  <c r="AD99" i="13"/>
  <c r="AD96" i="13"/>
  <c r="AB96" i="13"/>
  <c r="G11" i="17"/>
  <c r="H18" i="29"/>
  <c r="V23" i="25" s="1"/>
  <c r="Z23" i="25" s="1"/>
  <c r="F6" i="19"/>
  <c r="S159" i="13"/>
  <c r="S119" i="13"/>
  <c r="S121" i="13" s="1"/>
  <c r="E11" i="17"/>
  <c r="F18" i="29"/>
  <c r="V21" i="25" s="1"/>
  <c r="Z21" i="25" s="1"/>
  <c r="D6" i="19"/>
  <c r="J82" i="13"/>
  <c r="J81" i="13" s="1"/>
  <c r="AH82" i="13"/>
  <c r="AL83" i="13" s="1"/>
  <c r="K82" i="13"/>
  <c r="W82" i="13"/>
  <c r="AH91" i="13"/>
  <c r="AI121" i="13"/>
  <c r="D11" i="19"/>
  <c r="F19" i="29"/>
  <c r="W21" i="25" s="1"/>
  <c r="AA21" i="25" s="1"/>
  <c r="E23" i="17"/>
  <c r="I19" i="29"/>
  <c r="W24" i="25" s="1"/>
  <c r="AA24" i="25" s="1"/>
  <c r="H23" i="17"/>
  <c r="B13" i="19"/>
  <c r="F30" i="17"/>
  <c r="G20" i="29"/>
  <c r="X22" i="25" s="1"/>
  <c r="AB22" i="25" s="1"/>
  <c r="I30" i="17"/>
  <c r="J20" i="29"/>
  <c r="X25" i="25" s="1"/>
  <c r="AB25" i="25" s="1"/>
  <c r="H13" i="19"/>
  <c r="D18" i="17"/>
  <c r="G18" i="17"/>
  <c r="L91" i="13"/>
  <c r="X91" i="13"/>
  <c r="E98" i="9"/>
  <c r="F98" i="9" s="1"/>
  <c r="AF96" i="13"/>
  <c r="C18" i="19"/>
  <c r="D42" i="17"/>
  <c r="F18" i="19"/>
  <c r="G42" i="17"/>
  <c r="C21" i="19"/>
  <c r="F21" i="19"/>
  <c r="E47" i="17"/>
  <c r="H47" i="17"/>
  <c r="P109" i="13"/>
  <c r="AB109" i="13"/>
  <c r="C28" i="19"/>
  <c r="H26" i="19"/>
  <c r="L114" i="13"/>
  <c r="X114" i="13"/>
  <c r="J11" i="26"/>
  <c r="M11" i="26"/>
  <c r="P11" i="26"/>
  <c r="C11" i="26"/>
  <c r="G11" i="19"/>
  <c r="AH96" i="13"/>
  <c r="AL97" i="13" s="1"/>
  <c r="V103" i="13"/>
  <c r="J107" i="13"/>
  <c r="V107" i="13"/>
  <c r="AH107" i="13"/>
  <c r="Z114" i="13"/>
  <c r="P119" i="13"/>
  <c r="T159" i="13"/>
  <c r="AF159" i="13"/>
  <c r="E13" i="19"/>
  <c r="S89" i="13"/>
  <c r="AU90" i="13"/>
  <c r="L18" i="17" s="1"/>
  <c r="AI96" i="13"/>
  <c r="AM97" i="13" s="1"/>
  <c r="S99" i="13"/>
  <c r="AE99" i="13"/>
  <c r="W103" i="13"/>
  <c r="K107" i="13"/>
  <c r="W107" i="13"/>
  <c r="AI107" i="13"/>
  <c r="AA114" i="13"/>
  <c r="I159" i="13"/>
  <c r="U159" i="13"/>
  <c r="AG159" i="13"/>
  <c r="Q159" i="13"/>
  <c r="F10" i="19"/>
  <c r="B11" i="19"/>
  <c r="D19" i="29"/>
  <c r="W19" i="25" s="1"/>
  <c r="AA19" i="25" s="1"/>
  <c r="E11" i="19"/>
  <c r="G19" i="29"/>
  <c r="W22" i="25" s="1"/>
  <c r="AA22" i="25" s="1"/>
  <c r="F23" i="17"/>
  <c r="J19" i="29"/>
  <c r="W25" i="25" s="1"/>
  <c r="AA25" i="25" s="1"/>
  <c r="I23" i="17"/>
  <c r="P87" i="13"/>
  <c r="AB87" i="13"/>
  <c r="E20" i="29"/>
  <c r="X20" i="25" s="1"/>
  <c r="AB20" i="25" s="1"/>
  <c r="C13" i="19"/>
  <c r="G30" i="17"/>
  <c r="H20" i="29"/>
  <c r="X23" i="25" s="1"/>
  <c r="AB23" i="25" s="1"/>
  <c r="H89" i="13"/>
  <c r="T89" i="13"/>
  <c r="AF89" i="13"/>
  <c r="E18" i="17"/>
  <c r="H18" i="17"/>
  <c r="P91" i="13"/>
  <c r="AB91" i="13"/>
  <c r="E96" i="9"/>
  <c r="F96" i="9" s="1"/>
  <c r="E99" i="9"/>
  <c r="F99" i="9" s="1"/>
  <c r="H96" i="13"/>
  <c r="H99" i="13"/>
  <c r="T99" i="13"/>
  <c r="D18" i="19"/>
  <c r="E42" i="17"/>
  <c r="G18" i="19"/>
  <c r="H42" i="17"/>
  <c r="X103" i="13"/>
  <c r="D21" i="19"/>
  <c r="G21" i="19"/>
  <c r="L107" i="13"/>
  <c r="X107" i="13"/>
  <c r="F47" i="17"/>
  <c r="I47" i="17"/>
  <c r="T109" i="13"/>
  <c r="AF109" i="13"/>
  <c r="D28" i="19"/>
  <c r="G25" i="19"/>
  <c r="P114" i="13"/>
  <c r="AB114" i="13"/>
  <c r="AB159" i="13"/>
  <c r="AG109" i="13"/>
  <c r="K159" i="13"/>
  <c r="W159" i="13"/>
  <c r="AI159" i="13"/>
  <c r="AC159" i="13"/>
  <c r="R91" i="13"/>
  <c r="N96" i="13"/>
  <c r="N95" i="13" s="1"/>
  <c r="N107" i="13"/>
  <c r="Z107" i="13"/>
  <c r="R114" i="13"/>
  <c r="AD114" i="13"/>
  <c r="C13" i="26"/>
  <c r="P13" i="26"/>
  <c r="L159" i="13"/>
  <c r="L119" i="13"/>
  <c r="X159" i="13"/>
  <c r="X119" i="13"/>
  <c r="H120" i="13"/>
  <c r="J5" i="26" s="1"/>
  <c r="T120" i="13"/>
  <c r="AF120" i="13"/>
  <c r="P125" i="13"/>
  <c r="AB125" i="13"/>
  <c r="L129" i="13"/>
  <c r="X129" i="13"/>
  <c r="W89" i="13"/>
  <c r="AI89" i="13"/>
  <c r="K96" i="13"/>
  <c r="O107" i="13"/>
  <c r="AA107" i="13"/>
  <c r="S114" i="13"/>
  <c r="AE114" i="13"/>
  <c r="O14" i="26"/>
  <c r="M159" i="13"/>
  <c r="Y159" i="13"/>
  <c r="D10" i="19"/>
  <c r="G10" i="19"/>
  <c r="C11" i="19"/>
  <c r="E19" i="29"/>
  <c r="W20" i="25" s="1"/>
  <c r="AA20" i="25" s="1"/>
  <c r="D23" i="17"/>
  <c r="F11" i="19"/>
  <c r="H19" i="29"/>
  <c r="W23" i="25" s="1"/>
  <c r="AA23" i="25" s="1"/>
  <c r="G23" i="17"/>
  <c r="H87" i="13"/>
  <c r="T87" i="13"/>
  <c r="AF87" i="13"/>
  <c r="D13" i="19"/>
  <c r="F20" i="29"/>
  <c r="X21" i="25" s="1"/>
  <c r="AB21" i="25" s="1"/>
  <c r="H30" i="17"/>
  <c r="I20" i="29"/>
  <c r="X24" i="25" s="1"/>
  <c r="AB24" i="25" s="1"/>
  <c r="G13" i="19"/>
  <c r="L89" i="13"/>
  <c r="X89" i="13"/>
  <c r="H22" i="29" s="1"/>
  <c r="F18" i="17"/>
  <c r="I18" i="17"/>
  <c r="T91" i="13"/>
  <c r="AF91" i="13"/>
  <c r="E97" i="9"/>
  <c r="F97" i="9" s="1"/>
  <c r="E100" i="9"/>
  <c r="F100" i="9" s="1"/>
  <c r="L96" i="13"/>
  <c r="E21" i="29" s="1"/>
  <c r="L99" i="13"/>
  <c r="X99" i="13"/>
  <c r="B18" i="19"/>
  <c r="E18" i="19"/>
  <c r="F42" i="17"/>
  <c r="H18" i="19"/>
  <c r="I42" i="17"/>
  <c r="AB103" i="13"/>
  <c r="L105" i="13"/>
  <c r="X105" i="13"/>
  <c r="B21" i="19"/>
  <c r="E21" i="19"/>
  <c r="H21" i="19"/>
  <c r="P107" i="13"/>
  <c r="AB107" i="13"/>
  <c r="D47" i="17"/>
  <c r="G47" i="17"/>
  <c r="L109" i="13"/>
  <c r="X109" i="13"/>
  <c r="B28" i="19"/>
  <c r="E28" i="19"/>
  <c r="H25" i="19"/>
  <c r="G26" i="19"/>
  <c r="H114" i="13"/>
  <c r="H113" i="13" s="1"/>
  <c r="T114" i="13"/>
  <c r="AF114" i="13"/>
  <c r="L11" i="26"/>
  <c r="L24" i="26" s="1"/>
  <c r="O11" i="26"/>
  <c r="C5" i="19"/>
  <c r="D18" i="29"/>
  <c r="V19" i="25" s="1"/>
  <c r="Z19" i="25" s="1"/>
  <c r="B6" i="19"/>
  <c r="F11" i="17"/>
  <c r="G18" i="29"/>
  <c r="V22" i="25" s="1"/>
  <c r="Z22" i="25" s="1"/>
  <c r="E6" i="19"/>
  <c r="I11" i="17"/>
  <c r="H6" i="19"/>
  <c r="AG72" i="13"/>
  <c r="M96" i="13"/>
  <c r="Y96" i="13"/>
  <c r="AG114" i="13"/>
  <c r="O159" i="13"/>
  <c r="AA159" i="13"/>
  <c r="Z96" i="13"/>
  <c r="N99" i="13"/>
  <c r="Z99" i="13"/>
  <c r="V114" i="13"/>
  <c r="AH114" i="13"/>
  <c r="O9" i="26"/>
  <c r="M13" i="26"/>
  <c r="F29" i="17"/>
  <c r="J22" i="17"/>
  <c r="K22" i="17"/>
  <c r="E29" i="17"/>
  <c r="G29" i="17"/>
  <c r="H29" i="17"/>
  <c r="I29" i="17"/>
  <c r="O24" i="26" l="1"/>
  <c r="H21" i="29"/>
  <c r="E22" i="29"/>
  <c r="J21" i="29"/>
  <c r="O6" i="17"/>
  <c r="O8" i="26"/>
  <c r="AY90" i="13"/>
  <c r="M18" i="17" s="1"/>
  <c r="P115" i="13"/>
  <c r="X115" i="13"/>
  <c r="U83" i="13"/>
  <c r="L27" i="19"/>
  <c r="M55" i="17" s="1"/>
  <c r="L115" i="13"/>
  <c r="AC83" i="13"/>
  <c r="C10" i="26"/>
  <c r="N113" i="13"/>
  <c r="N115" i="13"/>
  <c r="I131" i="13"/>
  <c r="I133" i="13" s="1"/>
  <c r="AG113" i="13"/>
  <c r="AG115" i="13"/>
  <c r="AK115" i="13"/>
  <c r="AF115" i="13"/>
  <c r="AJ115" i="13"/>
  <c r="J22" i="29"/>
  <c r="AC113" i="13"/>
  <c r="AC115" i="13"/>
  <c r="G22" i="29"/>
  <c r="P24" i="26"/>
  <c r="Q113" i="13"/>
  <c r="Q115" i="13"/>
  <c r="AE113" i="13"/>
  <c r="AE115" i="13"/>
  <c r="O113" i="13"/>
  <c r="O115" i="13"/>
  <c r="S113" i="13"/>
  <c r="S115" i="13"/>
  <c r="T115" i="13"/>
  <c r="AB115" i="13"/>
  <c r="M24" i="26"/>
  <c r="N24" i="26"/>
  <c r="AB121" i="13"/>
  <c r="I22" i="29"/>
  <c r="K24" i="26"/>
  <c r="R113" i="13"/>
  <c r="R115" i="13"/>
  <c r="L28" i="19"/>
  <c r="AH115" i="13"/>
  <c r="AL115" i="13"/>
  <c r="V113" i="13"/>
  <c r="V115" i="13"/>
  <c r="AA113" i="13"/>
  <c r="AA115" i="13"/>
  <c r="Z113" i="13"/>
  <c r="Z115" i="13"/>
  <c r="AI113" i="13"/>
  <c r="AI115" i="13"/>
  <c r="AM115" i="13"/>
  <c r="Y113" i="13"/>
  <c r="Y115" i="13"/>
  <c r="AD113" i="13"/>
  <c r="AD115" i="13"/>
  <c r="W113" i="13"/>
  <c r="W115" i="13"/>
  <c r="U113" i="13"/>
  <c r="U115" i="13"/>
  <c r="F22" i="29"/>
  <c r="M113" i="13"/>
  <c r="M115" i="13"/>
  <c r="AS128" i="13"/>
  <c r="B104" i="9"/>
  <c r="D104" i="9" s="1"/>
  <c r="W83" i="13"/>
  <c r="C9" i="26"/>
  <c r="U121" i="13"/>
  <c r="K13" i="26"/>
  <c r="N14" i="26"/>
  <c r="H81" i="13"/>
  <c r="N5" i="26"/>
  <c r="M5" i="26"/>
  <c r="J4" i="26"/>
  <c r="J6" i="26" s="1"/>
  <c r="J21" i="26" s="1"/>
  <c r="N8" i="26"/>
  <c r="F20" i="19"/>
  <c r="F23" i="19" s="1"/>
  <c r="C20" i="19"/>
  <c r="C23" i="19" s="1"/>
  <c r="L10" i="26"/>
  <c r="AF121" i="13"/>
  <c r="AD121" i="13"/>
  <c r="AI81" i="13"/>
  <c r="O5" i="26"/>
  <c r="O12" i="26"/>
  <c r="P9" i="26"/>
  <c r="N10" i="26"/>
  <c r="P14" i="26"/>
  <c r="V131" i="13"/>
  <c r="V133" i="13" s="1"/>
  <c r="E20" i="19"/>
  <c r="E22" i="19" s="1"/>
  <c r="F49" i="17" s="1"/>
  <c r="J131" i="13"/>
  <c r="J133" i="13" s="1"/>
  <c r="P12" i="26"/>
  <c r="B20" i="19"/>
  <c r="B23" i="19" s="1"/>
  <c r="C12" i="26"/>
  <c r="R121" i="13"/>
  <c r="R133" i="13" s="1"/>
  <c r="AE83" i="13"/>
  <c r="Y121" i="13"/>
  <c r="AG131" i="13"/>
  <c r="AG133" i="13" s="1"/>
  <c r="L83" i="13"/>
  <c r="I53" i="17"/>
  <c r="D20" i="19"/>
  <c r="D22" i="19" s="1"/>
  <c r="E49" i="17" s="1"/>
  <c r="G20" i="19"/>
  <c r="G23" i="19" s="1"/>
  <c r="L12" i="26"/>
  <c r="U81" i="13"/>
  <c r="T131" i="13"/>
  <c r="AI83" i="13"/>
  <c r="H20" i="19"/>
  <c r="H22" i="19" s="1"/>
  <c r="I49" i="17" s="1"/>
  <c r="M4" i="26"/>
  <c r="H8" i="19"/>
  <c r="K8" i="26"/>
  <c r="AF131" i="13"/>
  <c r="C14" i="26"/>
  <c r="N13" i="26"/>
  <c r="P10" i="26"/>
  <c r="Q131" i="13"/>
  <c r="Q133" i="13" s="1"/>
  <c r="AE131" i="13"/>
  <c r="AE133" i="13" s="1"/>
  <c r="J14" i="26"/>
  <c r="N131" i="13"/>
  <c r="N133" i="13" s="1"/>
  <c r="O10" i="26"/>
  <c r="N81" i="13"/>
  <c r="AG83" i="13"/>
  <c r="AK83" i="13"/>
  <c r="AH83" i="13"/>
  <c r="AC131" i="13"/>
  <c r="AC133" i="13" s="1"/>
  <c r="AD83" i="13"/>
  <c r="Z131" i="13"/>
  <c r="Z133" i="13" s="1"/>
  <c r="X131" i="13"/>
  <c r="L8" i="26"/>
  <c r="AI133" i="13"/>
  <c r="AG81" i="13"/>
  <c r="L5" i="26"/>
  <c r="M9" i="26"/>
  <c r="Z83" i="13"/>
  <c r="O131" i="13"/>
  <c r="O133" i="13" s="1"/>
  <c r="AK103" i="13"/>
  <c r="H131" i="13"/>
  <c r="AH133" i="13"/>
  <c r="L131" i="13"/>
  <c r="C12" i="19"/>
  <c r="D25" i="17" s="1"/>
  <c r="F28" i="19"/>
  <c r="G53" i="17"/>
  <c r="K133" i="13"/>
  <c r="U133" i="13"/>
  <c r="K12" i="26"/>
  <c r="Y83" i="13"/>
  <c r="S83" i="13"/>
  <c r="O83" i="13"/>
  <c r="J9" i="26"/>
  <c r="L113" i="13"/>
  <c r="D53" i="17"/>
  <c r="K10" i="26"/>
  <c r="T113" i="13"/>
  <c r="F53" i="17"/>
  <c r="AF83" i="13"/>
  <c r="AJ83" i="13"/>
  <c r="AB113" i="13"/>
  <c r="H53" i="17"/>
  <c r="C4" i="26"/>
  <c r="AA131" i="13"/>
  <c r="AA133" i="13" s="1"/>
  <c r="P113" i="13"/>
  <c r="E53" i="17"/>
  <c r="P4" i="26"/>
  <c r="B107" i="9"/>
  <c r="H101" i="9"/>
  <c r="B103" i="9"/>
  <c r="H95" i="9"/>
  <c r="H96" i="9"/>
  <c r="O97" i="13"/>
  <c r="H98" i="9"/>
  <c r="H99" i="9"/>
  <c r="B102" i="9"/>
  <c r="AS86" i="13"/>
  <c r="I73" i="29" s="1"/>
  <c r="J18" i="17"/>
  <c r="H28" i="19"/>
  <c r="F7" i="19"/>
  <c r="G13" i="17" s="1"/>
  <c r="C8" i="19"/>
  <c r="B7" i="19"/>
  <c r="E7" i="19"/>
  <c r="F13" i="17" s="1"/>
  <c r="Q83" i="13"/>
  <c r="X83" i="13"/>
  <c r="X81" i="13"/>
  <c r="M83" i="13"/>
  <c r="I81" i="13"/>
  <c r="C8" i="26"/>
  <c r="S131" i="13"/>
  <c r="S133" i="13" s="1"/>
  <c r="Y131" i="13"/>
  <c r="AF81" i="13"/>
  <c r="M131" i="13"/>
  <c r="M133" i="13" s="1"/>
  <c r="AD81" i="13"/>
  <c r="I18" i="19"/>
  <c r="AO103" i="13"/>
  <c r="B15" i="19"/>
  <c r="D14" i="19"/>
  <c r="E32" i="17" s="1"/>
  <c r="AD133" i="13"/>
  <c r="D7" i="19"/>
  <c r="E13" i="17" s="1"/>
  <c r="E14" i="19"/>
  <c r="F32" i="17" s="1"/>
  <c r="O13" i="26"/>
  <c r="L13" i="26"/>
  <c r="G27" i="19"/>
  <c r="H55" i="17" s="1"/>
  <c r="N9" i="26"/>
  <c r="F12" i="19"/>
  <c r="G25" i="17" s="1"/>
  <c r="K9" i="26"/>
  <c r="W133" i="13"/>
  <c r="G14" i="19"/>
  <c r="H32" i="17" s="1"/>
  <c r="G8" i="19"/>
  <c r="H97" i="9"/>
  <c r="I42" i="9"/>
  <c r="C43" i="9"/>
  <c r="J43" i="9"/>
  <c r="D44" i="9"/>
  <c r="AC97" i="13"/>
  <c r="D38" i="17"/>
  <c r="C17" i="19"/>
  <c r="L97" i="13"/>
  <c r="AA97" i="13"/>
  <c r="F17" i="19"/>
  <c r="M97" i="13"/>
  <c r="Q97" i="13"/>
  <c r="B17" i="19"/>
  <c r="AM103" i="13"/>
  <c r="B14" i="19"/>
  <c r="G7" i="19"/>
  <c r="H13" i="17" s="1"/>
  <c r="E15" i="19"/>
  <c r="AL103" i="13"/>
  <c r="P95" i="13"/>
  <c r="AB131" i="13"/>
  <c r="I6" i="17"/>
  <c r="AD97" i="13"/>
  <c r="AF113" i="13"/>
  <c r="AI95" i="13"/>
  <c r="AH95" i="13"/>
  <c r="AH97" i="13"/>
  <c r="H6" i="17"/>
  <c r="AB83" i="13"/>
  <c r="AB81" i="13"/>
  <c r="F6" i="17"/>
  <c r="N4" i="26"/>
  <c r="X121" i="13"/>
  <c r="P131" i="13"/>
  <c r="E6" i="17"/>
  <c r="P83" i="13"/>
  <c r="P81" i="13"/>
  <c r="T83" i="13"/>
  <c r="F8" i="19"/>
  <c r="G6" i="17"/>
  <c r="AB97" i="13"/>
  <c r="G28" i="19"/>
  <c r="H27" i="19"/>
  <c r="I55" i="17" s="1"/>
  <c r="J42" i="17"/>
  <c r="D12" i="19"/>
  <c r="E25" i="17" s="1"/>
  <c r="R96" i="13"/>
  <c r="R97" i="13" s="1"/>
  <c r="I95" i="13"/>
  <c r="D8" i="19"/>
  <c r="P97" i="13"/>
  <c r="K4" i="26"/>
  <c r="L121" i="13"/>
  <c r="L4" i="26"/>
  <c r="P121" i="13"/>
  <c r="G12" i="19"/>
  <c r="H25" i="17" s="1"/>
  <c r="X113" i="13"/>
  <c r="AO109" i="13"/>
  <c r="N83" i="13"/>
  <c r="X95" i="13"/>
  <c r="E12" i="19"/>
  <c r="F25" i="17" s="1"/>
  <c r="H14" i="19"/>
  <c r="I32" i="17" s="1"/>
  <c r="J95" i="13"/>
  <c r="AG95" i="13"/>
  <c r="AG97" i="13"/>
  <c r="D6" i="17"/>
  <c r="W81" i="13"/>
  <c r="T121" i="13"/>
  <c r="H12" i="19"/>
  <c r="I25" i="17" s="1"/>
  <c r="L95" i="13"/>
  <c r="N97" i="13"/>
  <c r="C7" i="19"/>
  <c r="O4" i="26"/>
  <c r="K81" i="13"/>
  <c r="Y95" i="13"/>
  <c r="G15" i="19"/>
  <c r="H95" i="13"/>
  <c r="B12" i="19"/>
  <c r="C25" i="17" s="1"/>
  <c r="AE96" i="13"/>
  <c r="AE97" i="13" s="1"/>
  <c r="B8" i="19"/>
  <c r="AB95" i="13"/>
  <c r="C15" i="19"/>
  <c r="AA83" i="13"/>
  <c r="H121" i="13"/>
  <c r="AH81" i="13"/>
  <c r="Z95" i="13"/>
  <c r="M95" i="13"/>
  <c r="AH113" i="13"/>
  <c r="D15" i="19"/>
  <c r="W95" i="13"/>
  <c r="F15" i="19"/>
  <c r="AF95" i="13"/>
  <c r="H17" i="19"/>
  <c r="AF97" i="13"/>
  <c r="S96" i="13"/>
  <c r="S97" i="13" s="1"/>
  <c r="AD95" i="13"/>
  <c r="V83" i="13"/>
  <c r="V81" i="13"/>
  <c r="H7" i="19"/>
  <c r="I13" i="17" s="1"/>
  <c r="J47" i="17"/>
  <c r="K95" i="13"/>
  <c r="C5" i="26"/>
  <c r="P5" i="26"/>
  <c r="AN103" i="13"/>
  <c r="AJ99" i="13"/>
  <c r="AJ96" i="13"/>
  <c r="C14" i="19"/>
  <c r="T96" i="13"/>
  <c r="E8" i="19"/>
  <c r="F14" i="19"/>
  <c r="G32" i="17" s="1"/>
  <c r="H15" i="19"/>
  <c r="V96" i="13"/>
  <c r="U96" i="13"/>
  <c r="U97" i="13" s="1"/>
  <c r="AB133" i="13" l="1"/>
  <c r="F21" i="29"/>
  <c r="I21" i="29"/>
  <c r="G21" i="29"/>
  <c r="AY88" i="13"/>
  <c r="AY125" i="13" s="1"/>
  <c r="AY86" i="13"/>
  <c r="C104" i="9"/>
  <c r="AS124" i="13"/>
  <c r="AY124" i="13"/>
  <c r="L11" i="19"/>
  <c r="AT128" i="13"/>
  <c r="M6" i="26"/>
  <c r="M21" i="26" s="1"/>
  <c r="F22" i="19"/>
  <c r="G49" i="17" s="1"/>
  <c r="M17" i="26"/>
  <c r="AS82" i="13"/>
  <c r="C22" i="19"/>
  <c r="AF133" i="13"/>
  <c r="H23" i="19"/>
  <c r="E23" i="19"/>
  <c r="D23" i="19"/>
  <c r="K34" i="26"/>
  <c r="B22" i="19"/>
  <c r="P15" i="26"/>
  <c r="K37" i="26" s="1"/>
  <c r="Y133" i="13"/>
  <c r="G22" i="19"/>
  <c r="H49" i="17" s="1"/>
  <c r="K18" i="19" a="1"/>
  <c r="K18" i="19" s="1"/>
  <c r="K15" i="26"/>
  <c r="L15" i="26"/>
  <c r="J15" i="26"/>
  <c r="N15" i="26"/>
  <c r="C15" i="26"/>
  <c r="M15" i="26"/>
  <c r="P6" i="26"/>
  <c r="P21" i="26" s="1"/>
  <c r="O15" i="26"/>
  <c r="K36" i="26" s="1"/>
  <c r="C108" i="9"/>
  <c r="K31" i="26"/>
  <c r="H133" i="13"/>
  <c r="J17" i="26"/>
  <c r="AS88" i="13"/>
  <c r="I77" i="29" s="1"/>
  <c r="K33" i="26"/>
  <c r="C107" i="9"/>
  <c r="F107" i="9"/>
  <c r="H107" i="9" s="1"/>
  <c r="D9" i="26"/>
  <c r="J23" i="17"/>
  <c r="D103" i="9"/>
  <c r="AU106" i="13"/>
  <c r="AU105" i="13" s="1"/>
  <c r="AU129" i="13" s="1"/>
  <c r="D102" i="9"/>
  <c r="C102" i="9"/>
  <c r="C103" i="9"/>
  <c r="V97" i="13"/>
  <c r="I11" i="19"/>
  <c r="I13" i="19"/>
  <c r="J30" i="17"/>
  <c r="AU86" i="13"/>
  <c r="AU88" i="13"/>
  <c r="K18" i="17"/>
  <c r="AT86" i="13"/>
  <c r="C17" i="26"/>
  <c r="R95" i="13"/>
  <c r="K32" i="26"/>
  <c r="K35" i="26"/>
  <c r="I21" i="19"/>
  <c r="AS103" i="13"/>
  <c r="G38" i="17"/>
  <c r="D12" i="26"/>
  <c r="K51" i="26" s="1"/>
  <c r="J6" i="17"/>
  <c r="D45" i="9"/>
  <c r="J44" i="9"/>
  <c r="I43" i="9"/>
  <c r="C44" i="9"/>
  <c r="C6" i="26"/>
  <c r="Q12" i="26"/>
  <c r="J18" i="19" a="1"/>
  <c r="J18" i="19" s="1"/>
  <c r="X97" i="13"/>
  <c r="O6" i="26"/>
  <c r="O17" i="26"/>
  <c r="S95" i="13"/>
  <c r="AP103" i="13"/>
  <c r="K47" i="17"/>
  <c r="AN109" i="13"/>
  <c r="U95" i="13"/>
  <c r="AI97" i="13"/>
  <c r="AJ97" i="13"/>
  <c r="AJ95" i="13"/>
  <c r="J34" i="26"/>
  <c r="T133" i="13"/>
  <c r="J32" i="26"/>
  <c r="L133" i="13"/>
  <c r="W97" i="13"/>
  <c r="AU82" i="13"/>
  <c r="AS106" i="13"/>
  <c r="AS105" i="13" s="1"/>
  <c r="AS129" i="13" s="1"/>
  <c r="AS109" i="13"/>
  <c r="K6" i="26"/>
  <c r="K21" i="26" s="1"/>
  <c r="K17" i="26"/>
  <c r="H100" i="9"/>
  <c r="AR103" i="13"/>
  <c r="J31" i="26"/>
  <c r="G17" i="19"/>
  <c r="K42" i="17"/>
  <c r="H38" i="17"/>
  <c r="AK99" i="13"/>
  <c r="AK96" i="13"/>
  <c r="K21" i="29" s="1"/>
  <c r="D17" i="19"/>
  <c r="J33" i="26"/>
  <c r="P133" i="13"/>
  <c r="E38" i="17"/>
  <c r="X133" i="13"/>
  <c r="J35" i="26"/>
  <c r="F38" i="17"/>
  <c r="E17" i="19"/>
  <c r="T97" i="13"/>
  <c r="AT106" i="13"/>
  <c r="AT105" i="13" s="1"/>
  <c r="AT129" i="13" s="1"/>
  <c r="AT109" i="13"/>
  <c r="P17" i="26"/>
  <c r="L6" i="26"/>
  <c r="L21" i="26" s="1"/>
  <c r="L17" i="26"/>
  <c r="N6" i="26"/>
  <c r="N21" i="26" s="1"/>
  <c r="N17" i="26"/>
  <c r="Y97" i="13"/>
  <c r="I38" i="17"/>
  <c r="V95" i="13"/>
  <c r="T95" i="13"/>
  <c r="AE95" i="13"/>
  <c r="Z97" i="13"/>
  <c r="Q10" i="26"/>
  <c r="D10" i="26"/>
  <c r="K23" i="17"/>
  <c r="J11" i="19"/>
  <c r="AT124" i="13" l="1"/>
  <c r="J73" i="29"/>
  <c r="AU125" i="13"/>
  <c r="K77" i="29"/>
  <c r="AU124" i="13"/>
  <c r="K73" i="29"/>
  <c r="AY85" i="13"/>
  <c r="AY120" i="13" s="1"/>
  <c r="L13" i="19"/>
  <c r="N13" i="19" s="1"/>
  <c r="L23" i="17"/>
  <c r="M23" i="17"/>
  <c r="AS125" i="13"/>
  <c r="V27" i="25"/>
  <c r="Z27" i="25" s="1"/>
  <c r="X27" i="25"/>
  <c r="AB27" i="25" s="1"/>
  <c r="N11" i="19"/>
  <c r="T9" i="26"/>
  <c r="G9" i="26"/>
  <c r="T10" i="26"/>
  <c r="G10" i="26"/>
  <c r="AU128" i="13"/>
  <c r="AS80" i="13"/>
  <c r="I69" i="29" s="1"/>
  <c r="AW82" i="13"/>
  <c r="AW80" i="13" s="1"/>
  <c r="AU80" i="13"/>
  <c r="AY82" i="13"/>
  <c r="J37" i="26"/>
  <c r="L37" i="26" s="1"/>
  <c r="L34" i="26"/>
  <c r="AT88" i="13"/>
  <c r="J19" i="26"/>
  <c r="L31" i="26"/>
  <c r="L33" i="26"/>
  <c r="K11" i="19"/>
  <c r="E107" i="23" s="1"/>
  <c r="L32" i="26"/>
  <c r="K19" i="26"/>
  <c r="AS85" i="13"/>
  <c r="AS120" i="13" s="1"/>
  <c r="Q9" i="26"/>
  <c r="AU109" i="13"/>
  <c r="J13" i="19"/>
  <c r="K30" i="17"/>
  <c r="J21" i="19" a="1"/>
  <c r="J21" i="19" s="1"/>
  <c r="N21" i="19" s="1"/>
  <c r="I10" i="19"/>
  <c r="I15" i="19" s="1"/>
  <c r="AU85" i="13"/>
  <c r="AU120" i="13" s="1"/>
  <c r="L35" i="26"/>
  <c r="E12" i="26"/>
  <c r="L51" i="26" s="1"/>
  <c r="N51" i="26" s="1"/>
  <c r="AT82" i="13"/>
  <c r="K6" i="17"/>
  <c r="I6" i="19"/>
  <c r="J11" i="17"/>
  <c r="C45" i="9"/>
  <c r="I44" i="9"/>
  <c r="D46" i="9"/>
  <c r="J45" i="9"/>
  <c r="M19" i="26"/>
  <c r="P19" i="26"/>
  <c r="D18" i="26" s="1"/>
  <c r="R12" i="26"/>
  <c r="AK97" i="13"/>
  <c r="AK95" i="13"/>
  <c r="AU103" i="13"/>
  <c r="L19" i="26"/>
  <c r="J36" i="26"/>
  <c r="L36" i="26" s="1"/>
  <c r="O21" i="26"/>
  <c r="E102" i="9"/>
  <c r="F102" i="9" s="1"/>
  <c r="AT103" i="13"/>
  <c r="I20" i="19"/>
  <c r="N19" i="26"/>
  <c r="O19" i="26"/>
  <c r="C18" i="26" s="1"/>
  <c r="C19" i="26" s="1"/>
  <c r="AL99" i="13"/>
  <c r="E9" i="26"/>
  <c r="R9" i="26"/>
  <c r="R10" i="26"/>
  <c r="E10" i="26"/>
  <c r="AU123" i="13" l="1"/>
  <c r="K69" i="29"/>
  <c r="L10" i="19"/>
  <c r="L15" i="19" s="1"/>
  <c r="M72" i="29"/>
  <c r="W27" i="25" s="1"/>
  <c r="AA27" i="25" s="1"/>
  <c r="AT125" i="13"/>
  <c r="J77" i="29"/>
  <c r="M76" i="29" s="1"/>
  <c r="L6" i="17"/>
  <c r="L30" i="17"/>
  <c r="M30" i="17"/>
  <c r="AS123" i="13"/>
  <c r="G5" i="26"/>
  <c r="T5" i="26"/>
  <c r="AW79" i="13"/>
  <c r="AW119" i="13" s="1"/>
  <c r="AW121" i="13" s="1"/>
  <c r="AW123" i="13"/>
  <c r="AV128" i="13"/>
  <c r="AV103" i="13"/>
  <c r="AU79" i="13"/>
  <c r="AU119" i="13" s="1"/>
  <c r="AU121" i="13" s="1"/>
  <c r="AT80" i="13"/>
  <c r="AX82" i="13"/>
  <c r="AY80" i="13"/>
  <c r="AS79" i="13"/>
  <c r="AS119" i="13" s="1"/>
  <c r="AS121" i="13" s="1"/>
  <c r="AV82" i="13"/>
  <c r="M31" i="26"/>
  <c r="H77" i="23"/>
  <c r="I77" i="23" s="1"/>
  <c r="H76" i="23"/>
  <c r="I76" i="23" s="1"/>
  <c r="H78" i="23"/>
  <c r="I78" i="23" s="1"/>
  <c r="H79" i="23"/>
  <c r="I79" i="23" s="1"/>
  <c r="F12" i="26"/>
  <c r="S12" i="26"/>
  <c r="AT85" i="13"/>
  <c r="AT120" i="13" s="1"/>
  <c r="K13" i="19"/>
  <c r="D5" i="26"/>
  <c r="Q5" i="26"/>
  <c r="F10" i="26"/>
  <c r="S10" i="26"/>
  <c r="F9" i="26"/>
  <c r="S9" i="26"/>
  <c r="M32" i="26"/>
  <c r="M33" i="26"/>
  <c r="M35" i="26"/>
  <c r="M34" i="26"/>
  <c r="K21" i="19" a="1"/>
  <c r="K21" i="19" s="1"/>
  <c r="M36" i="26"/>
  <c r="J10" i="19"/>
  <c r="J14" i="19" s="1"/>
  <c r="K32" i="17" s="1"/>
  <c r="J53" i="17"/>
  <c r="I12" i="19"/>
  <c r="J25" i="17" s="1"/>
  <c r="I14" i="19"/>
  <c r="J32" i="17" s="1"/>
  <c r="M37" i="26"/>
  <c r="I5" i="19"/>
  <c r="Q8" i="26"/>
  <c r="D8" i="26"/>
  <c r="J6" i="19"/>
  <c r="K11" i="17"/>
  <c r="D47" i="9"/>
  <c r="J46" i="9"/>
  <c r="C46" i="9"/>
  <c r="I45" i="9"/>
  <c r="D13" i="26"/>
  <c r="Q13" i="26"/>
  <c r="AJ131" i="13"/>
  <c r="AJ133" i="13" s="1"/>
  <c r="I23" i="19"/>
  <c r="I22" i="19"/>
  <c r="J49" i="17" s="1"/>
  <c r="AM99" i="13"/>
  <c r="I17" i="19"/>
  <c r="J20" i="19" a="1"/>
  <c r="J20" i="19" s="1"/>
  <c r="N20" i="19" s="1"/>
  <c r="E5" i="26"/>
  <c r="R5" i="26"/>
  <c r="L14" i="19" l="1"/>
  <c r="M32" i="17" s="1"/>
  <c r="L12" i="19"/>
  <c r="M25" i="17" s="1"/>
  <c r="AT123" i="13"/>
  <c r="J69" i="29"/>
  <c r="M68" i="29" s="1"/>
  <c r="N10" i="19"/>
  <c r="L11" i="17"/>
  <c r="M6" i="17"/>
  <c r="AY79" i="13"/>
  <c r="AY119" i="13" s="1"/>
  <c r="AY121" i="13" s="1"/>
  <c r="AY123" i="13"/>
  <c r="F8" i="26"/>
  <c r="AW128" i="13"/>
  <c r="AW103" i="13"/>
  <c r="AT79" i="13"/>
  <c r="AT119" i="13" s="1"/>
  <c r="AT121" i="13" s="1"/>
  <c r="AV80" i="13"/>
  <c r="AX80" i="13"/>
  <c r="K6" i="19"/>
  <c r="E68" i="23" s="1"/>
  <c r="H7" i="23" s="1"/>
  <c r="I7" i="23" s="1"/>
  <c r="H107" i="23"/>
  <c r="E133" i="23"/>
  <c r="U10" i="26" a="1"/>
  <c r="U10" i="26" s="1"/>
  <c r="V10" i="26" s="1" a="1"/>
  <c r="V10" i="26" s="1"/>
  <c r="K10" i="19"/>
  <c r="K12" i="19" s="1"/>
  <c r="L25" i="17" s="1"/>
  <c r="S5" i="26"/>
  <c r="U5" i="26" s="1"/>
  <c r="V5" i="26" s="1"/>
  <c r="W5" i="26" s="1"/>
  <c r="X5" i="26" s="1"/>
  <c r="Y5" i="26" s="1"/>
  <c r="Z5" i="26" s="1"/>
  <c r="AA5" i="26" s="1"/>
  <c r="AB5" i="26" s="1"/>
  <c r="AC5" i="26" s="1"/>
  <c r="F5" i="26"/>
  <c r="Q14" i="26"/>
  <c r="K20" i="19" a="1"/>
  <c r="K20" i="19" s="1"/>
  <c r="I26" i="19"/>
  <c r="J15" i="19"/>
  <c r="N15" i="19" s="1"/>
  <c r="J12" i="19"/>
  <c r="K25" i="17" s="1"/>
  <c r="J5" i="19"/>
  <c r="J7" i="19" s="1"/>
  <c r="K13" i="17" s="1"/>
  <c r="E8" i="26"/>
  <c r="R8" i="26"/>
  <c r="I8" i="19"/>
  <c r="I7" i="19"/>
  <c r="J13" i="17" s="1"/>
  <c r="D4" i="26"/>
  <c r="D6" i="26" s="1"/>
  <c r="Q4" i="26"/>
  <c r="Q6" i="26" s="1"/>
  <c r="C47" i="9"/>
  <c r="I46" i="9"/>
  <c r="D48" i="9"/>
  <c r="J47" i="9"/>
  <c r="J38" i="17"/>
  <c r="E13" i="26"/>
  <c r="R13" i="26"/>
  <c r="J23" i="19"/>
  <c r="N23" i="19" s="1"/>
  <c r="J22" i="19"/>
  <c r="K49" i="17" s="1"/>
  <c r="AN96" i="13"/>
  <c r="AN99" i="13"/>
  <c r="H102" i="9"/>
  <c r="AV79" i="13" l="1"/>
  <c r="AV119" i="13" s="1"/>
  <c r="M11" i="17"/>
  <c r="AV123" i="13"/>
  <c r="L6" i="19"/>
  <c r="AX128" i="13"/>
  <c r="L18" i="19" a="1"/>
  <c r="L18" i="19" s="1"/>
  <c r="N18" i="19" s="1"/>
  <c r="AX103" i="13"/>
  <c r="AX79" i="13"/>
  <c r="AX119" i="13" s="1"/>
  <c r="AX121" i="13" s="1"/>
  <c r="AX123" i="13"/>
  <c r="S8" i="26"/>
  <c r="K7" i="19"/>
  <c r="L13" i="17" s="1"/>
  <c r="H9" i="23"/>
  <c r="I9" i="23" s="1"/>
  <c r="H8" i="23"/>
  <c r="I8" i="23" s="1"/>
  <c r="H6" i="23"/>
  <c r="I6" i="23" s="1"/>
  <c r="H39" i="23" s="1"/>
  <c r="K15" i="19"/>
  <c r="H116" i="23"/>
  <c r="I116" i="23" s="1"/>
  <c r="H115" i="23"/>
  <c r="I115" i="23" s="1"/>
  <c r="H84" i="23"/>
  <c r="I84" i="23" s="1"/>
  <c r="H83" i="23"/>
  <c r="I83" i="23" s="1"/>
  <c r="H85" i="23"/>
  <c r="I85" i="23" s="1"/>
  <c r="H82" i="23"/>
  <c r="I82" i="23" s="1"/>
  <c r="H81" i="23"/>
  <c r="I81" i="23" s="1"/>
  <c r="H80" i="23"/>
  <c r="I80" i="23" s="1"/>
  <c r="K14" i="19"/>
  <c r="L32" i="17" s="1"/>
  <c r="S13" i="26"/>
  <c r="F13" i="26"/>
  <c r="D14" i="26"/>
  <c r="W10" i="26" a="1"/>
  <c r="W10" i="26" s="1"/>
  <c r="S4" i="26"/>
  <c r="F4" i="26"/>
  <c r="F6" i="26" s="1"/>
  <c r="J40" i="26" s="1"/>
  <c r="K23" i="19"/>
  <c r="AN131" i="13"/>
  <c r="AN133" i="13" s="1"/>
  <c r="K22" i="19"/>
  <c r="L49" i="17" s="1"/>
  <c r="I25" i="19"/>
  <c r="D11" i="26"/>
  <c r="Q11" i="26"/>
  <c r="Q24" i="26" s="1"/>
  <c r="Q21" i="26"/>
  <c r="J38" i="26"/>
  <c r="J8" i="19"/>
  <c r="R4" i="26"/>
  <c r="E4" i="26"/>
  <c r="E6" i="26" s="1"/>
  <c r="J39" i="26" s="1"/>
  <c r="J48" i="9"/>
  <c r="D49" i="9"/>
  <c r="I47" i="9"/>
  <c r="C48" i="9"/>
  <c r="AN97" i="13"/>
  <c r="AN95" i="13"/>
  <c r="AO96" i="13"/>
  <c r="AO99" i="13"/>
  <c r="U9" i="26" a="1"/>
  <c r="U9" i="26" s="1"/>
  <c r="L21" i="29" l="1"/>
  <c r="N6" i="19"/>
  <c r="T8" i="26"/>
  <c r="U8" i="26" s="1" a="1"/>
  <c r="U8" i="26" s="1"/>
  <c r="G8" i="26"/>
  <c r="L5" i="19"/>
  <c r="L7" i="19" s="1"/>
  <c r="M13" i="17" s="1"/>
  <c r="AV121" i="13"/>
  <c r="G4" i="26"/>
  <c r="G6" i="26" s="1"/>
  <c r="T4" i="26"/>
  <c r="T6" i="26" s="1"/>
  <c r="T21" i="26" s="1"/>
  <c r="J41" i="26"/>
  <c r="J43" i="26"/>
  <c r="AY103" i="13"/>
  <c r="AY128" i="13"/>
  <c r="T12" i="26" s="1"/>
  <c r="K8" i="19"/>
  <c r="H133" i="23"/>
  <c r="D15" i="26"/>
  <c r="E156" i="23"/>
  <c r="AO131" i="13"/>
  <c r="AO133" i="13" s="1"/>
  <c r="X10" i="26" a="1"/>
  <c r="X10" i="26" s="1"/>
  <c r="S6" i="26"/>
  <c r="S21" i="26" s="1"/>
  <c r="I28" i="19"/>
  <c r="I27" i="19"/>
  <c r="J55" i="17" s="1"/>
  <c r="Q17" i="26"/>
  <c r="Q15" i="26"/>
  <c r="K38" i="26" s="1"/>
  <c r="D17" i="26"/>
  <c r="D19" i="26" s="1"/>
  <c r="E18" i="26" s="1"/>
  <c r="R6" i="26"/>
  <c r="R21" i="26" s="1"/>
  <c r="J49" i="9"/>
  <c r="D50" i="9"/>
  <c r="I48" i="9"/>
  <c r="C49" i="9"/>
  <c r="U13" i="26" a="1"/>
  <c r="U13" i="26" s="1"/>
  <c r="AO97" i="13"/>
  <c r="AO95" i="13"/>
  <c r="AP99" i="13"/>
  <c r="E103" i="9"/>
  <c r="F103" i="9" s="1"/>
  <c r="H103" i="9" s="1"/>
  <c r="V9" i="26" a="1"/>
  <c r="V9" i="26" s="1"/>
  <c r="U4" i="26" l="1"/>
  <c r="V4" i="26" s="1"/>
  <c r="W4" i="26" s="1"/>
  <c r="L8" i="19"/>
  <c r="N8" i="19" s="1"/>
  <c r="N5" i="19"/>
  <c r="V8" i="26" a="1"/>
  <c r="V8" i="26" s="1"/>
  <c r="W8" i="26" s="1" a="1"/>
  <c r="W8" i="26" s="1"/>
  <c r="X8" i="26" s="1" a="1"/>
  <c r="X8" i="26" s="1"/>
  <c r="U12" i="26" a="1"/>
  <c r="U12" i="26" s="1"/>
  <c r="V12" i="26" s="1" a="1"/>
  <c r="V12" i="26" s="1"/>
  <c r="G12" i="26"/>
  <c r="H142" i="23"/>
  <c r="I142" i="23" s="1"/>
  <c r="H141" i="23"/>
  <c r="I141" i="23" s="1"/>
  <c r="Y10" i="26" a="1"/>
  <c r="Y10" i="26" s="1"/>
  <c r="Q19" i="26"/>
  <c r="K53" i="17"/>
  <c r="L38" i="26"/>
  <c r="I49" i="9"/>
  <c r="C50" i="9"/>
  <c r="D51" i="9"/>
  <c r="J50" i="9"/>
  <c r="V13" i="26" a="1"/>
  <c r="V13" i="26" s="1"/>
  <c r="W13" i="26" s="1" a="1"/>
  <c r="W13" i="26" s="1"/>
  <c r="W9" i="26" a="1"/>
  <c r="W9" i="26" s="1"/>
  <c r="X9" i="26" s="1" a="1"/>
  <c r="X9" i="26" s="1"/>
  <c r="Y9" i="26" s="1" a="1"/>
  <c r="Y9" i="26" s="1"/>
  <c r="Z9" i="26" s="1" a="1"/>
  <c r="Z9" i="26" s="1"/>
  <c r="AA9" i="26" s="1" a="1"/>
  <c r="AA9" i="26" s="1"/>
  <c r="AB9" i="26" s="1" a="1"/>
  <c r="AB9" i="26" s="1"/>
  <c r="AC9" i="26" s="1" a="1"/>
  <c r="AC9" i="26" s="1"/>
  <c r="V6" i="26" l="1"/>
  <c r="U6" i="26"/>
  <c r="W12" i="26" a="1"/>
  <c r="W12" i="26" s="1"/>
  <c r="X12" i="26" s="1" a="1"/>
  <c r="X12" i="26" s="1"/>
  <c r="K38" i="17"/>
  <c r="H154" i="23"/>
  <c r="W6" i="26"/>
  <c r="X4" i="26"/>
  <c r="Z10" i="26" a="1"/>
  <c r="Z10" i="26" s="1"/>
  <c r="AA10" i="26" s="1" a="1"/>
  <c r="AA10" i="26" s="1"/>
  <c r="M38" i="26"/>
  <c r="J17" i="19" a="1"/>
  <c r="J17" i="19" s="1"/>
  <c r="D52" i="9"/>
  <c r="J51" i="9"/>
  <c r="C51" i="9"/>
  <c r="I50" i="9"/>
  <c r="X13" i="26" a="1"/>
  <c r="X13" i="26" s="1"/>
  <c r="AR99" i="13"/>
  <c r="H81" i="29"/>
  <c r="AS93" i="13" a="1"/>
  <c r="AS93" i="13" s="1"/>
  <c r="Y8" i="26" a="1"/>
  <c r="Y8" i="26" s="1"/>
  <c r="Z8" i="26" s="1" a="1"/>
  <c r="Z8" i="26" s="1"/>
  <c r="Y12" i="26" l="1" a="1"/>
  <c r="Y12" i="26" s="1"/>
  <c r="Z12" i="26" s="1" a="1"/>
  <c r="Z12" i="26" s="1"/>
  <c r="AA12" i="26" s="1" a="1"/>
  <c r="AA12" i="26" s="1"/>
  <c r="M65" i="29"/>
  <c r="E14" i="26"/>
  <c r="X6" i="26"/>
  <c r="Y4" i="26"/>
  <c r="AB10" i="26" a="1"/>
  <c r="AB10" i="26" s="1"/>
  <c r="AC10" i="26" s="1" a="1"/>
  <c r="AC10" i="26" s="1"/>
  <c r="J26" i="19"/>
  <c r="R14" i="26"/>
  <c r="E11" i="26"/>
  <c r="R11" i="26"/>
  <c r="R24" i="26" s="1"/>
  <c r="U21" i="26"/>
  <c r="C52" i="9"/>
  <c r="I51" i="9"/>
  <c r="D53" i="9"/>
  <c r="J52" i="9"/>
  <c r="AS99" i="13"/>
  <c r="AS127" i="13" s="1"/>
  <c r="AS131" i="13" s="1"/>
  <c r="AS96" i="13"/>
  <c r="I81" i="29" s="1"/>
  <c r="AT93" i="13" a="1"/>
  <c r="AT93" i="13" s="1"/>
  <c r="AR95" i="13"/>
  <c r="AR97" i="13"/>
  <c r="Y13" i="26" a="1"/>
  <c r="Y13" i="26" s="1"/>
  <c r="AA8" i="26" a="1"/>
  <c r="AA8" i="26" s="1"/>
  <c r="AB12" i="26" l="1" a="1"/>
  <c r="AB12" i="26" s="1"/>
  <c r="AC12" i="26" s="1" a="1"/>
  <c r="AC12" i="26" s="1"/>
  <c r="AS115" i="13"/>
  <c r="J25" i="19"/>
  <c r="J28" i="19" s="1"/>
  <c r="N28" i="19" s="1"/>
  <c r="AS112" i="13"/>
  <c r="E15" i="26"/>
  <c r="K39" i="26" s="1"/>
  <c r="Z4" i="26"/>
  <c r="Y6" i="26"/>
  <c r="R15" i="26"/>
  <c r="E17" i="26"/>
  <c r="E19" i="26" s="1"/>
  <c r="F18" i="26" s="1"/>
  <c r="R17" i="26"/>
  <c r="V21" i="26"/>
  <c r="D54" i="9"/>
  <c r="J53" i="9"/>
  <c r="C53" i="9"/>
  <c r="I52" i="9"/>
  <c r="AT99" i="13"/>
  <c r="AT127" i="13" s="1"/>
  <c r="AT131" i="13" s="1"/>
  <c r="AT96" i="13"/>
  <c r="J81" i="29" s="1"/>
  <c r="AU93" i="13" a="1"/>
  <c r="AU93" i="13" s="1"/>
  <c r="Z13" i="26" a="1"/>
  <c r="Z13" i="26" s="1"/>
  <c r="AS95" i="13"/>
  <c r="AS97" i="13"/>
  <c r="AB8" i="26" a="1"/>
  <c r="AB8" i="26" s="1"/>
  <c r="AS111" i="13" l="1"/>
  <c r="I85" i="29"/>
  <c r="J27" i="19"/>
  <c r="K55" i="17" s="1"/>
  <c r="N25" i="19"/>
  <c r="K43" i="26"/>
  <c r="AT115" i="13"/>
  <c r="AT112" i="13"/>
  <c r="E104" i="9"/>
  <c r="F104" i="9" s="1"/>
  <c r="H104" i="9" s="1"/>
  <c r="AV93" i="13" a="1"/>
  <c r="AV93" i="13" s="1"/>
  <c r="AW93" i="13" s="1" a="1"/>
  <c r="AW93" i="13" s="1"/>
  <c r="L39" i="26"/>
  <c r="AS133" i="13"/>
  <c r="Z6" i="26"/>
  <c r="AA4" i="26"/>
  <c r="R19" i="26"/>
  <c r="W21" i="26"/>
  <c r="I53" i="9"/>
  <c r="C54" i="9"/>
  <c r="J54" i="9"/>
  <c r="D55" i="9"/>
  <c r="AU99" i="13"/>
  <c r="AU127" i="13" s="1"/>
  <c r="AU131" i="13" s="1"/>
  <c r="AU96" i="13"/>
  <c r="AT95" i="13"/>
  <c r="AT97" i="13"/>
  <c r="AA13" i="26" a="1"/>
  <c r="AA13" i="26" s="1"/>
  <c r="AB13" i="26" s="1" a="1"/>
  <c r="AB13" i="26" s="1"/>
  <c r="AC13" i="26" s="1" a="1"/>
  <c r="AC13" i="26" s="1"/>
  <c r="AC8" i="26" a="1"/>
  <c r="AC8" i="26" s="1"/>
  <c r="K17" i="19" l="1" a="1"/>
  <c r="K17" i="19" s="1"/>
  <c r="K81" i="29"/>
  <c r="M80" i="29" s="1"/>
  <c r="AT111" i="13"/>
  <c r="J85" i="29"/>
  <c r="L38" i="17"/>
  <c r="AT133" i="13"/>
  <c r="AU115" i="13"/>
  <c r="AU112" i="13"/>
  <c r="S14" i="26"/>
  <c r="F14" i="26"/>
  <c r="AW96" i="13"/>
  <c r="AW99" i="13"/>
  <c r="AW127" i="13" s="1"/>
  <c r="AW131" i="13" s="1"/>
  <c r="AW133" i="13" s="1"/>
  <c r="AX93" i="13" a="1"/>
  <c r="AX93" i="13" s="1"/>
  <c r="AV99" i="13"/>
  <c r="AV127" i="13" s="1"/>
  <c r="AV96" i="13"/>
  <c r="M39" i="26"/>
  <c r="AB4" i="26"/>
  <c r="AA6" i="26"/>
  <c r="X21" i="26"/>
  <c r="I54" i="9"/>
  <c r="C55" i="9"/>
  <c r="J55" i="9"/>
  <c r="D56" i="9"/>
  <c r="AU95" i="13"/>
  <c r="AU97" i="13"/>
  <c r="AU111" i="13" l="1"/>
  <c r="K25" i="19" s="1"/>
  <c r="K85" i="29"/>
  <c r="M84" i="29" s="1"/>
  <c r="AV131" i="13"/>
  <c r="AV133" i="13" s="1"/>
  <c r="K26" i="19"/>
  <c r="AU133" i="13"/>
  <c r="U14" i="26" a="1"/>
  <c r="U14" i="26" s="1"/>
  <c r="V14" i="26" s="1" a="1"/>
  <c r="V14" i="26" s="1"/>
  <c r="W14" i="26" s="1" a="1"/>
  <c r="W14" i="26" s="1"/>
  <c r="AV97" i="13"/>
  <c r="AV95" i="13"/>
  <c r="AX99" i="13"/>
  <c r="AX127" i="13" s="1"/>
  <c r="AX131" i="13" s="1"/>
  <c r="AX133" i="13" s="1"/>
  <c r="AX96" i="13"/>
  <c r="AY93" i="13" a="1"/>
  <c r="AY93" i="13" s="1"/>
  <c r="AW97" i="13"/>
  <c r="AW95" i="13"/>
  <c r="AB6" i="26"/>
  <c r="AC4" i="26"/>
  <c r="AC6" i="26" s="1"/>
  <c r="S11" i="26"/>
  <c r="S24" i="26" s="1"/>
  <c r="F11" i="26"/>
  <c r="Y21" i="26"/>
  <c r="D57" i="9"/>
  <c r="J56" i="9"/>
  <c r="I55" i="9"/>
  <c r="C56" i="9"/>
  <c r="K28" i="19" l="1"/>
  <c r="K27" i="19"/>
  <c r="L55" i="17" s="1"/>
  <c r="AY99" i="13"/>
  <c r="AY127" i="13" s="1"/>
  <c r="AY131" i="13" s="1"/>
  <c r="AY133" i="13" s="1"/>
  <c r="AY96" i="13"/>
  <c r="L17" i="19" s="1" a="1"/>
  <c r="L17" i="19" s="1"/>
  <c r="N17" i="19" s="1"/>
  <c r="AX97" i="13"/>
  <c r="AX95" i="13"/>
  <c r="F17" i="26"/>
  <c r="F19" i="26" s="1"/>
  <c r="G18" i="26" s="1"/>
  <c r="F15" i="26"/>
  <c r="K40" i="26" s="1"/>
  <c r="S15" i="26"/>
  <c r="S17" i="26"/>
  <c r="X14" i="26" a="1"/>
  <c r="X14" i="26" s="1"/>
  <c r="Y14" i="26" s="1" a="1"/>
  <c r="Y14" i="26" s="1"/>
  <c r="Z21" i="26"/>
  <c r="C57" i="9"/>
  <c r="I56" i="9"/>
  <c r="D58" i="9"/>
  <c r="J57" i="9"/>
  <c r="M38" i="17" l="1"/>
  <c r="T11" i="26"/>
  <c r="U11" i="26" s="1"/>
  <c r="G11" i="26"/>
  <c r="L40" i="26"/>
  <c r="K41" i="26"/>
  <c r="S19" i="26"/>
  <c r="AY97" i="13"/>
  <c r="AY95" i="13"/>
  <c r="Z14" i="26" a="1"/>
  <c r="Z14" i="26" s="1"/>
  <c r="AA14" i="26" s="1" a="1"/>
  <c r="AA14" i="26" s="1"/>
  <c r="AA21" i="26"/>
  <c r="D59" i="9"/>
  <c r="J58" i="9"/>
  <c r="C58" i="9"/>
  <c r="I57" i="9"/>
  <c r="G17" i="26" l="1"/>
  <c r="G19" i="26" s="1"/>
  <c r="G15" i="26"/>
  <c r="T24" i="26"/>
  <c r="T17" i="26"/>
  <c r="T19" i="26" s="1"/>
  <c r="T15" i="26"/>
  <c r="L41" i="26"/>
  <c r="M40" i="26"/>
  <c r="V11" i="26"/>
  <c r="U15" i="26"/>
  <c r="U17" i="26"/>
  <c r="U24" i="26"/>
  <c r="AB14" i="26" a="1"/>
  <c r="AB14" i="26" s="1"/>
  <c r="AC14" i="26" s="1" a="1"/>
  <c r="AC14" i="26" s="1"/>
  <c r="AC21" i="26"/>
  <c r="AB21" i="26"/>
  <c r="C59" i="9"/>
  <c r="I58" i="9"/>
  <c r="D60" i="9"/>
  <c r="J59" i="9"/>
  <c r="U19" i="26" l="1"/>
  <c r="W11" i="26"/>
  <c r="V17" i="26"/>
  <c r="V19" i="26" s="1"/>
  <c r="V24" i="26"/>
  <c r="V15" i="26"/>
  <c r="J60" i="9"/>
  <c r="D61" i="9"/>
  <c r="I59" i="9"/>
  <c r="C60" i="9"/>
  <c r="X11" i="26" l="1"/>
  <c r="W15" i="26"/>
  <c r="W24" i="26"/>
  <c r="W17" i="26"/>
  <c r="W19" i="26" s="1"/>
  <c r="J61" i="9"/>
  <c r="D62" i="9"/>
  <c r="I60" i="9"/>
  <c r="C61" i="9"/>
  <c r="Y11" i="26" l="1"/>
  <c r="X24" i="26"/>
  <c r="X17" i="26"/>
  <c r="X19" i="26" s="1"/>
  <c r="X15" i="26"/>
  <c r="I61" i="9"/>
  <c r="C62" i="9"/>
  <c r="D63" i="9"/>
  <c r="J63" i="9" s="1"/>
  <c r="J62" i="9"/>
  <c r="Z11" i="26" l="1"/>
  <c r="Y17" i="26"/>
  <c r="Y19" i="26" s="1"/>
  <c r="Y24" i="26"/>
  <c r="Y15" i="26"/>
  <c r="C63" i="9"/>
  <c r="I63" i="9" s="1"/>
  <c r="I62" i="9"/>
  <c r="AA11" i="26" l="1"/>
  <c r="Z17" i="26"/>
  <c r="Z19" i="26" s="1"/>
  <c r="Z24" i="26"/>
  <c r="Z15" i="26"/>
  <c r="AB11" i="26" l="1"/>
  <c r="AA24" i="26"/>
  <c r="AA15" i="26"/>
  <c r="AA17" i="26"/>
  <c r="AA19" i="26" s="1"/>
  <c r="AC11" i="26" l="1"/>
  <c r="AB24" i="26"/>
  <c r="AB15" i="26"/>
  <c r="AB17" i="26"/>
  <c r="AB19" i="26" s="1"/>
  <c r="AC24" i="26" l="1"/>
  <c r="AC15" i="26"/>
  <c r="AC17" i="26"/>
  <c r="AC19"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KENNEDY Michael  * DAS</author>
  </authors>
  <commentList>
    <comment ref="Y99" authorId="0" shapeId="0" xr:uid="{00000000-0006-0000-0000-000001000000}">
      <text>
        <r>
          <rPr>
            <b/>
            <sz val="9"/>
            <color indexed="81"/>
            <rFont val="Tahoma"/>
            <family val="2"/>
          </rPr>
          <t>KENNEDY Michael  * DAS:</t>
        </r>
        <r>
          <rPr>
            <sz val="9"/>
            <color indexed="81"/>
            <rFont val="Tahoma"/>
            <family val="2"/>
          </rPr>
          <t xml:space="preserve">
Adjusted to reflect impact of Pandemic.</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U:\Clean Fuels\Clean Fuels DB.accdb" keepAlive="1" name="Clean Fuels DB" type="5" refreshedVersion="7">
    <dbPr connection="Provider=Microsoft.ACE.OLEDB.12.0;User ID=Admin;Data Source=U:\Clean Fuels\Clean Fuels DB.accdb;Mode=ReadWrite;Extended Properties=&quot;&quot;;Jet OLEDB:System database=&quot;&quot;;Jet OLEDB:Registry Path=&quot;&quot;;Jet OLEDB:Engine Type=6;Jet OLEDB:Database Locking Mode=1;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view_cfdata" commandType="3"/>
  </connection>
  <connection id="2" xr16:uid="{00000000-0015-0000-FFFF-FFFF01000000}" sourceFile="U:\Clean Fuels\Clean Fuels DB.accdb" keepAlive="1" name="Clean Fuels DB1" type="5" refreshedVersion="6">
    <dbPr connection="Provider=Microsoft.ACE.OLEDB.12.0;User ID=Admin;Data Source=U:\Clean Fuels\Clean Fuels DB.accdb;Mode=ReadWrite;Extended Properties=&quot;&quot;;Jet OLEDB:System database=&quot;&quot;;Jet OLEDB:Registry Path=&quot;&quot;;Jet OLEDB:Engine Type=6;Jet OLEDB:Database Locking Mode=1;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ref_constants" commandType="3"/>
  </connection>
  <connection id="3" xr16:uid="{00000000-0015-0000-FFFF-FFFF02000000}" sourceFile="U:\Clean Fuels\Clean Fuels DB.accdb" keepAlive="1" name="Clean Fuels DB2" type="5" refreshedVersion="7" saveData="1">
    <dbPr connection="Provider=Microsoft.ACE.OLEDB.12.0;User ID=Admin;Data Source=U:\Clean Fuels\Clean Fuels DB.accdb;Mode=ReadWrite;Extended Properties=&quot;&quot;;Jet OLEDB:System database=&quot;&quot;;Jet OLEDB:Registry Path=&quot;&quot;;Jet OLEDB:Engine Type=6;Jet OLEDB:Database Locking Mode=1;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view_cfp_facility" commandType="3"/>
  </connection>
  <connection id="4" xr16:uid="{00000000-0015-0000-FFFF-FFFF03000000}" sourceFile="U:\Clean Fuels\Clean Fuels DB.accdb" keepAlive="1" name="Clean Fuels DB3" type="5" refreshedVersion="7">
    <dbPr connection="Provider=Microsoft.ACE.OLEDB.12.0;User ID=Admin;Data Source=U:\Clean Fuels\Clean Fuels DB.accdb;Mode=ReadWrite;Extended Properties=&quot;&quot;;Jet OLEDB:System database=&quot;&quot;;Jet OLEDB:Registry Path=&quot;&quot;;Jet OLEDB:Engine Type=6;Jet OLEDB:Database Locking Mode=1;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view_cfdata" commandType="3"/>
  </connection>
  <connection id="5" xr16:uid="{00000000-0015-0000-FFFF-FFFF04000000}" sourceFile="U:\Clean Fuels\Clean Fuels DB.accdb" keepAlive="1" name="Clean Fuels DB4" type="5" refreshedVersion="8">
    <dbPr connection="Provider=Microsoft.ACE.OLEDB.12.0;User ID=Admin;Data Source=U:\Clean Fuels\Clean Fuels DB.accdb;Mode=ReadWrite;Extended Properties=&quot;&quot;;Jet OLEDB:System database=&quot;&quot;;Jet OLEDB:Registry Path=&quot;&quot;;Jet OLEDB:Engine Type=6;Jet OLEDB:Database Locking Mode=1;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view_constants" commandType="3"/>
  </connection>
  <connection id="6" xr16:uid="{293A8FAC-0966-41E5-B4AC-E3B7A9204EE3}" keepAlive="1" name="WDDASSQLL03 Clean_Fuels_Forecast CFF_QY_VW_constants" type="5" refreshedVersion="8" background="1" saveData="1">
    <dbPr connection="Provider=SQLOLEDB.1;Integrated Security=SSPI;Persist Security Info=True;Initial Catalog=Clean_Fuels_Forecast;Data Source=WDDASSQLL05\DEV1;Use Procedure for Prepare=1;Auto Translate=True;Packet Size=4096;Workstation ID=ORDAS00139;Use Encryption for Data=False;Tag with column collation when possible=False" command="&quot;Clean_Fuels_Forecast&quot;.&quot;dbo&quot;.&quot;CFF_QY_VW_constants&quot;" commandType="3"/>
  </connection>
  <connection id="7" xr16:uid="{F66B5FCE-2E20-4F3C-B789-9F538C2D8D0E}" keepAlive="1" name="WDDASSQLL03 Clean_Fuels_Forecast CFF_QY_VW_facility" type="5" refreshedVersion="8" background="1" saveData="1">
    <dbPr connection="Provider=SQLOLEDB.1;Integrated Security=SSPI;Persist Security Info=True;Initial Catalog=Clean_Fuels_Forecast;Data Source=WDDASSQLL05\DEV1;Use Procedure for Prepare=1;Auto Translate=True;Packet Size=4096;Workstation ID=ORDAS00139;Use Encryption for Data=False;Tag with column collation when possible=False" command="&quot;Clean_Fuels_Forecast&quot;.&quot;dbo&quot;.&quot;CFF_QY_VW_facility&quot;" commandType="3"/>
  </connection>
  <connection id="8" xr16:uid="{D255EF77-5D1E-4D02-83AC-FA41914E4112}" keepAlive="1" name="WDDASSQLL03 Clean_Fuels_Forecast CFF_QY_VW_master" type="5" refreshedVersion="8" background="1" saveData="1">
    <dbPr connection="Provider=SQLOLEDB.1;Integrated Security=SSPI;Persist Security Info=True;Initial Catalog=Clean_Fuels_Forecast;Data Source=WDDASSQLL05\DEV1;Use Procedure for Prepare=1;Auto Translate=True;Packet Size=4096;Workstation ID=ORDAS00139;Use Encryption for Data=False;Tag with column collation when possible=False" command="&quot;Clean_Fuels_Forecast&quot;.&quot;dbo&quot;.&quot;CFF_QY_VW_master&quot;" commandType="3"/>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<sst xmlns="http://schemas.openxmlformats.org/spreadsheetml/2006/main" count="2093" uniqueCount="902">
  <si>
    <t>CFP Data Pivot Table</t>
  </si>
  <si>
    <t>Forecast Begins Here -&gt;&gt;&gt;&gt;&gt;&gt;&gt;&gt;&gt;</t>
  </si>
  <si>
    <t>Sum of quantity</t>
  </si>
  <si>
    <t>period</t>
  </si>
  <si>
    <t>data_type</t>
  </si>
  <si>
    <t>fuel_type</t>
  </si>
  <si>
    <t>fuel_name2</t>
  </si>
  <si>
    <t>volume</t>
  </si>
  <si>
    <t>Fossil</t>
  </si>
  <si>
    <t>Diesel</t>
  </si>
  <si>
    <t>Diesel_B20</t>
  </si>
  <si>
    <t>Diesel_B5</t>
  </si>
  <si>
    <t>Gasoline</t>
  </si>
  <si>
    <t>Gasoline_E10</t>
  </si>
  <si>
    <t>Fossil Total</t>
  </si>
  <si>
    <t>Alternative</t>
  </si>
  <si>
    <t>Bio_CNG</t>
  </si>
  <si>
    <t>Bio_LNG</t>
  </si>
  <si>
    <t>Biodiesel</t>
  </si>
  <si>
    <t>Diesel_Renew</t>
  </si>
  <si>
    <t>Electricity_Off</t>
  </si>
  <si>
    <t>Electricity_On</t>
  </si>
  <si>
    <t>Ethanol&lt;55</t>
  </si>
  <si>
    <t>Ethanol&gt;75</t>
  </si>
  <si>
    <t>Ethanol55-65</t>
  </si>
  <si>
    <t>Ethanol65-75</t>
  </si>
  <si>
    <t>Fossil_CNG</t>
  </si>
  <si>
    <t>Fossil_LNG</t>
  </si>
  <si>
    <t>Liq_Petroleum</t>
  </si>
  <si>
    <t>Liq_Pet_Renew</t>
  </si>
  <si>
    <t>Alternative Total</t>
  </si>
  <si>
    <t>Electricity_Res2</t>
  </si>
  <si>
    <t>credit</t>
  </si>
  <si>
    <t>Electricity_Res</t>
  </si>
  <si>
    <t>deficit</t>
  </si>
  <si>
    <t>Reported Volumes Array</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</si>
  <si>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</si>
  <si>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</si>
  <si>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</si>
  <si>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</si>
  <si>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</si>
  <si>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</si>
  <si>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</si>
  <si>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</si>
  <si>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</si>
  <si>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</si>
  <si>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</si>
  <si>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</si>
  <si>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</si>
  <si>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</si>
  <si>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</si>
  <si>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</si>
  <si>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</si>
  <si>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</si>
  <si>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</si>
  <si>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</si>
  <si>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</si>
  <si>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</si>
  <si>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</si>
  <si>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</si>
  <si>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</si>
  <si>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</si>
  <si>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</si>
  <si>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</si>
  <si>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</si>
  <si>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</si>
  <si>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</si>
  <si>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</si>
  <si>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</si>
  <si>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</si>
  <si>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</si>
  <si>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</si>
  <si>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</si>
  <si>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</si>
  <si>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</si>
  <si>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</si>
  <si>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</si>
  <si>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</si>
  <si>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t>2026 Q3</t>
  </si>
  <si>
    <t>2026 Q4</t>
  </si>
  <si>
    <t>Volumes Reported</t>
  </si>
  <si>
    <t>Conventional Gasoline</t>
  </si>
  <si>
    <t>Ethanol</t>
  </si>
  <si>
    <t>Blend Rate</t>
  </si>
  <si>
    <t>Blendstock</t>
  </si>
  <si>
    <t>Y/Y growth</t>
  </si>
  <si>
    <t>Fossil Diesel</t>
  </si>
  <si>
    <t>Renewable Diesel</t>
  </si>
  <si>
    <t>Total Diesel</t>
  </si>
  <si>
    <t>Non-res electricity</t>
  </si>
  <si>
    <t>Residential electricity</t>
  </si>
  <si>
    <t>Res percent</t>
  </si>
  <si>
    <t>Total electricity</t>
  </si>
  <si>
    <t>NR KWH/vehicle</t>
  </si>
  <si>
    <t>On-road add factor:</t>
  </si>
  <si>
    <t>Off-road Electricity</t>
  </si>
  <si>
    <t>Fossil NG</t>
  </si>
  <si>
    <t>Renewable NG</t>
  </si>
  <si>
    <t>Natural Gas</t>
  </si>
  <si>
    <t>Fossil LPG</t>
  </si>
  <si>
    <t>Renewable LPG</t>
  </si>
  <si>
    <t>Liquid Petroleum Gas</t>
  </si>
  <si>
    <t>Credits/Deficits Array</t>
  </si>
  <si>
    <t>Deficits</t>
  </si>
  <si>
    <t>Deficit Total</t>
  </si>
  <si>
    <t>Credits</t>
  </si>
  <si>
    <t>Electricity, res</t>
  </si>
  <si>
    <t>Electricity, non-res</t>
  </si>
  <si>
    <t>Electricity, off-road</t>
  </si>
  <si>
    <t>LPG</t>
  </si>
  <si>
    <t>Credit Total</t>
  </si>
  <si>
    <t>Net Credit Total</t>
  </si>
  <si>
    <t>Deficit/Credit Derivation</t>
  </si>
  <si>
    <t>Conventional Diesel</t>
  </si>
  <si>
    <t>Electricity-On</t>
  </si>
  <si>
    <t>Electricity-Off</t>
  </si>
  <si>
    <t>Fossil Nat. Gas</t>
  </si>
  <si>
    <t>Biogas</t>
  </si>
  <si>
    <t>Propane</t>
  </si>
  <si>
    <t>Raw Data Check</t>
  </si>
  <si>
    <t>Final Data Check</t>
  </si>
  <si>
    <t>Note: Final Deficits and Credits may not foot to the raw totals due to rounding</t>
  </si>
  <si>
    <t>Total Evs</t>
  </si>
  <si>
    <t>CI</t>
  </si>
  <si>
    <t>Table 1: Clean Fuels Forecast - Reported Volumes</t>
  </si>
  <si>
    <t>(Mil. gallons, percent)</t>
  </si>
  <si>
    <t>2025F</t>
  </si>
  <si>
    <t>2026F</t>
  </si>
  <si>
    <t>annual %ch
vs. 2024</t>
  </si>
  <si>
    <t>Ethanol Blend Rate</t>
  </si>
  <si>
    <t>Biodiesel Blend Rate</t>
  </si>
  <si>
    <t>Renew diesel Blend Rate</t>
  </si>
  <si>
    <t>Electricity (on-road)</t>
  </si>
  <si>
    <t>Electricity (off-road)</t>
  </si>
  <si>
    <t>Fossil Natural Gas</t>
  </si>
  <si>
    <t>Biogas Blend Rate</t>
  </si>
  <si>
    <t>Total Natural Gas</t>
  </si>
  <si>
    <t>Bio LPG</t>
  </si>
  <si>
    <t>UPDATE FORMULA</t>
  </si>
  <si>
    <t>LPG Blend Rate</t>
  </si>
  <si>
    <t>Liquified Petroleum Gas</t>
  </si>
  <si>
    <t>Notes:
Electricity and Natural Gas denoted in gasoline gallon equivalents.
On-road electricity includes a calculation for residential charging.</t>
  </si>
  <si>
    <t>Table 4: Credit and Deficit Summary</t>
  </si>
  <si>
    <t>Credit / Deficit Summary</t>
  </si>
  <si>
    <t>Credits and Deficits Over Time</t>
  </si>
  <si>
    <t>2027F</t>
  </si>
  <si>
    <t>2028F</t>
  </si>
  <si>
    <t>2029F</t>
  </si>
  <si>
    <t>2030F</t>
  </si>
  <si>
    <t>2031F</t>
  </si>
  <si>
    <t>2032F</t>
  </si>
  <si>
    <t>2033F</t>
  </si>
  <si>
    <t>2034F</t>
  </si>
  <si>
    <t>2035F</t>
  </si>
  <si>
    <t>Fossil Deficit Total</t>
  </si>
  <si>
    <t>Electricity, on-road</t>
  </si>
  <si>
    <t>Alternative Credit Total</t>
  </si>
  <si>
    <t>Net Credits/Deficits</t>
  </si>
  <si>
    <t>Net Credits</t>
  </si>
  <si>
    <t>Beginning Banked Credits</t>
  </si>
  <si>
    <t>Total Net Credits/Deficits</t>
  </si>
  <si>
    <t>Cumulative Bank</t>
  </si>
  <si>
    <t>Deficit (inverse)</t>
  </si>
  <si>
    <t>On-road electricity %ch</t>
  </si>
  <si>
    <t>Table 3: Net Banked Credits</t>
  </si>
  <si>
    <t>Year</t>
  </si>
  <si>
    <t>Net Banked
Credits</t>
  </si>
  <si>
    <t>Cumulative
Total</t>
  </si>
  <si>
    <t>2025 est.</t>
  </si>
  <si>
    <t>Total</t>
  </si>
  <si>
    <t>Thru 2024</t>
  </si>
  <si>
    <t>Off-road Electricity Credits:</t>
  </si>
  <si>
    <t>August 22nd presentation</t>
  </si>
  <si>
    <t>Updated</t>
  </si>
  <si>
    <t>Clean Fuels Program Reported Data</t>
  </si>
  <si>
    <t>Volume is gallons, actual or gasoline and diesel equilvalents.  
Credits and deficits denoted in metric tons. 
CI equals Carbon Intensity 
Data published per DEQ at https://www.oregon.gov/deq/aq/programs/Pages/Clean-Fuels-Data.aspx</t>
  </si>
  <si>
    <t>Electricity</t>
  </si>
  <si>
    <t>Weighted Average CI</t>
  </si>
  <si>
    <t>Renewable Propane</t>
  </si>
  <si>
    <t>Looking at the Current Year In Progress: Weighting for Volumes</t>
  </si>
  <si>
    <t>Volume</t>
  </si>
  <si>
    <t>Parameters</t>
  </si>
  <si>
    <t>Wtd Avg</t>
  </si>
  <si>
    <t>Propane Renew</t>
  </si>
  <si>
    <t>fuel_name</t>
  </si>
  <si>
    <t>Final CI assumptions based on combination of statistical measures, forecaster judgement, and input from the Clean Fuels Forecast Advisory Committee</t>
  </si>
  <si>
    <t>Sum of Capacity</t>
  </si>
  <si>
    <t>Low CI producer scenario</t>
  </si>
  <si>
    <t>Final Parameter</t>
  </si>
  <si>
    <t>state</t>
  </si>
  <si>
    <t>cfp_id</t>
  </si>
  <si>
    <t>city</t>
  </si>
  <si>
    <t>ND</t>
  </si>
  <si>
    <t>4810</t>
  </si>
  <si>
    <t xml:space="preserve"> Hankinson</t>
  </si>
  <si>
    <t>OR</t>
  </si>
  <si>
    <t>4804</t>
  </si>
  <si>
    <t xml:space="preserve"> Portland</t>
  </si>
  <si>
    <t>SD</t>
  </si>
  <si>
    <t xml:space="preserve"> Wentworth</t>
  </si>
  <si>
    <t>IA</t>
  </si>
  <si>
    <t>4736</t>
  </si>
  <si>
    <t xml:space="preserve"> Corning</t>
  </si>
  <si>
    <t>4783</t>
  </si>
  <si>
    <t xml:space="preserve"> Hudson</t>
  </si>
  <si>
    <t>6274</t>
  </si>
  <si>
    <t xml:space="preserve"> Sioux City</t>
  </si>
  <si>
    <t>5095</t>
  </si>
  <si>
    <t xml:space="preserve"> Coon Rapids</t>
  </si>
  <si>
    <t>5046</t>
  </si>
  <si>
    <t xml:space="preserve"> Groton</t>
  </si>
  <si>
    <t>4805</t>
  </si>
  <si>
    <t xml:space="preserve"> Big Stone City</t>
  </si>
  <si>
    <t>4793</t>
  </si>
  <si>
    <t xml:space="preserve"> Richardton</t>
  </si>
  <si>
    <t>1111</t>
  </si>
  <si>
    <t>6169</t>
  </si>
  <si>
    <t xml:space="preserve"> Chancellor</t>
  </si>
  <si>
    <t>NE</t>
  </si>
  <si>
    <t xml:space="preserve"> Jackson</t>
  </si>
  <si>
    <t xml:space="preserve"> Plainview</t>
  </si>
  <si>
    <t>4061</t>
  </si>
  <si>
    <t xml:space="preserve"> Onida</t>
  </si>
  <si>
    <t>4803</t>
  </si>
  <si>
    <t xml:space="preserve"> Redfield</t>
  </si>
  <si>
    <t>4764</t>
  </si>
  <si>
    <t xml:space="preserve"> Madrid</t>
  </si>
  <si>
    <t xml:space="preserve"> Ravenna</t>
  </si>
  <si>
    <t xml:space="preserve"> Trenton</t>
  </si>
  <si>
    <t>4791</t>
  </si>
  <si>
    <t xml:space="preserve"> Mitchell</t>
  </si>
  <si>
    <t>3652</t>
  </si>
  <si>
    <t xml:space="preserve"> Bridgeport</t>
  </si>
  <si>
    <t>6320</t>
  </si>
  <si>
    <t>CO</t>
  </si>
  <si>
    <t>5026</t>
  </si>
  <si>
    <t xml:space="preserve"> Yuma</t>
  </si>
  <si>
    <t xml:space="preserve"> Sterling</t>
  </si>
  <si>
    <t xml:space="preserve"> Boardman</t>
  </si>
  <si>
    <t>MN</t>
  </si>
  <si>
    <t xml:space="preserve"> ATWATER</t>
  </si>
  <si>
    <t>3697</t>
  </si>
  <si>
    <t>5934</t>
  </si>
  <si>
    <t xml:space="preserve"> Adams</t>
  </si>
  <si>
    <t>4789</t>
  </si>
  <si>
    <t>5504</t>
  </si>
  <si>
    <t>4831</t>
  </si>
  <si>
    <t>3862</t>
  </si>
  <si>
    <t xml:space="preserve"> Benson</t>
  </si>
  <si>
    <t>4727</t>
  </si>
  <si>
    <t xml:space="preserve"> Aberdeen</t>
  </si>
  <si>
    <t>KS</t>
  </si>
  <si>
    <t>4060</t>
  </si>
  <si>
    <t xml:space="preserve"> Oakley</t>
  </si>
  <si>
    <t xml:space="preserve"> Mina</t>
  </si>
  <si>
    <t>4063</t>
  </si>
  <si>
    <t xml:space="preserve"> Huron</t>
  </si>
  <si>
    <t xml:space="preserve"> Watertown</t>
  </si>
  <si>
    <t>5078</t>
  </si>
  <si>
    <t>Grand Total</t>
  </si>
  <si>
    <t>Reported Volume</t>
  </si>
  <si>
    <t>3683</t>
  </si>
  <si>
    <t xml:space="preserve"> Albert Lea</t>
  </si>
  <si>
    <t>MI</t>
  </si>
  <si>
    <t>3514</t>
  </si>
  <si>
    <t xml:space="preserve"> Sandusky</t>
  </si>
  <si>
    <t>3919</t>
  </si>
  <si>
    <t>Canada</t>
  </si>
  <si>
    <t>3758</t>
  </si>
  <si>
    <t xml:space="preserve"> Delta</t>
  </si>
  <si>
    <t>IL</t>
  </si>
  <si>
    <t>6130</t>
  </si>
  <si>
    <t xml:space="preserve"> Seneca</t>
  </si>
  <si>
    <t>CA</t>
  </si>
  <si>
    <t xml:space="preserve"> Bakersfield</t>
  </si>
  <si>
    <t>4664</t>
  </si>
  <si>
    <t>4814</t>
  </si>
  <si>
    <t>SouthKorea</t>
  </si>
  <si>
    <t xml:space="preserve"> Shiheung-City</t>
  </si>
  <si>
    <t>6326</t>
  </si>
  <si>
    <t xml:space="preserve"> Newton</t>
  </si>
  <si>
    <t>South Kore</t>
  </si>
  <si>
    <t xml:space="preserve"> POSEUNGGONGDANSUNHWAN-RO</t>
  </si>
  <si>
    <t>OK</t>
  </si>
  <si>
    <t>5953</t>
  </si>
  <si>
    <t xml:space="preserve"> Guymon</t>
  </si>
  <si>
    <t>AR</t>
  </si>
  <si>
    <t xml:space="preserve"> Batesville</t>
  </si>
  <si>
    <t>MO</t>
  </si>
  <si>
    <t xml:space="preserve"> St Joseph</t>
  </si>
  <si>
    <t>4305</t>
  </si>
  <si>
    <t xml:space="preserve"> Mason City</t>
  </si>
  <si>
    <t>4846</t>
  </si>
  <si>
    <t>4552</t>
  </si>
  <si>
    <t xml:space="preserve"> Hamilton</t>
  </si>
  <si>
    <t>WA</t>
  </si>
  <si>
    <t xml:space="preserve"> Hoquiam</t>
  </si>
  <si>
    <t>6412</t>
  </si>
  <si>
    <t>4888</t>
  </si>
  <si>
    <t xml:space="preserve"> Iowa Falls</t>
  </si>
  <si>
    <t xml:space="preserve"> Kansas City</t>
  </si>
  <si>
    <t>LA</t>
  </si>
  <si>
    <t>4137</t>
  </si>
  <si>
    <t xml:space="preserve"> Geismar</t>
  </si>
  <si>
    <t>1166</t>
  </si>
  <si>
    <t xml:space="preserve"> Rodeo</t>
  </si>
  <si>
    <t xml:space="preserve"> Dickinson</t>
  </si>
  <si>
    <t>6268</t>
  </si>
  <si>
    <t>4528</t>
  </si>
  <si>
    <t>Singapore</t>
  </si>
  <si>
    <t xml:space="preserve"> Singapore</t>
  </si>
  <si>
    <t>WY</t>
  </si>
  <si>
    <t xml:space="preserve"> Sinclair</t>
  </si>
  <si>
    <t>4320</t>
  </si>
  <si>
    <t>4754</t>
  </si>
  <si>
    <t xml:space="preserve"> Blaine</t>
  </si>
  <si>
    <t>4740</t>
  </si>
  <si>
    <t>4735</t>
  </si>
  <si>
    <t>(Multiple Items)</t>
  </si>
  <si>
    <t>Gallons</t>
  </si>
  <si>
    <t>TX</t>
  </si>
  <si>
    <t xml:space="preserve"> Euless</t>
  </si>
  <si>
    <t>4766</t>
  </si>
  <si>
    <t>KY</t>
  </si>
  <si>
    <t xml:space="preserve"> Louisville</t>
  </si>
  <si>
    <t>Parameter (sq cu ft/gal)</t>
  </si>
  <si>
    <t>Std Deviation</t>
  </si>
  <si>
    <t>Prior Forecast</t>
  </si>
  <si>
    <t>Qtr</t>
  </si>
  <si>
    <t>PHEV (baseline)</t>
  </si>
  <si>
    <t>PHEV (high)</t>
  </si>
  <si>
    <t>PHEV (low)</t>
  </si>
  <si>
    <t>BEV (baseline)</t>
  </si>
  <si>
    <t>BEV (high)</t>
  </si>
  <si>
    <t>BEV (low)</t>
  </si>
  <si>
    <t>Current forecast</t>
  </si>
  <si>
    <t>Total (high)</t>
  </si>
  <si>
    <t>Total (low)</t>
  </si>
  <si>
    <t>PHEV</t>
  </si>
  <si>
    <t>BEV</t>
  </si>
  <si>
    <t>PHEV (prior)</t>
  </si>
  <si>
    <t>BEV (prior)</t>
  </si>
  <si>
    <t>Annual Averages</t>
  </si>
  <si>
    <t>Res. KWh</t>
  </si>
  <si>
    <t>%change</t>
  </si>
  <si>
    <t>Res. GGE</t>
  </si>
  <si>
    <t>Total GGE</t>
  </si>
  <si>
    <t>Total KWh</t>
  </si>
  <si>
    <t>Average Evs</t>
  </si>
  <si>
    <t>KWh/EV</t>
  </si>
  <si>
    <t>Table 2.  Energy Consumption by Sector and Source</t>
  </si>
  <si>
    <t>https://www.eia.gov/outlooks/aeo/data/browser/#/?id=2-AEO2023&amp;region=1-9&amp;cases=ref2023&amp;start=2021&amp;end=2050&amp;f=A&amp;linechart=ref2023-d020623a.3-2-AEO2023.1-9&amp;map=ref2023-d020623a.4-2-AEO2023.1-9&amp;sourcekey=0</t>
  </si>
  <si>
    <t>https://www.eia.gov/outlooks/aeo/data/browser/#/?id=2-AEO2020&amp;region=1-9&amp;cases=ref2020&amp;start=2018&amp;end=2050&amp;f=A&amp;linechart=ref2020-d112119a.3-2-AEO2020.1-9&amp;map=ref2020-d112119a.5-2-AEO2020.1-9&amp;sourcekey=0</t>
  </si>
  <si>
    <t>Tue Jun 06 2023 11:15:04 GMT-0700 (Pacific Daylight Time)</t>
  </si>
  <si>
    <t>Mon Apr 19 2021 06:15:24 GMT-0700 (Pacific Daylight Time)</t>
  </si>
  <si>
    <t>Source: U.S. Energy Information Administration</t>
  </si>
  <si>
    <t>full name</t>
  </si>
  <si>
    <t>api key</t>
  </si>
  <si>
    <t>units</t>
  </si>
  <si>
    <t>Growth (2018-2050)</t>
  </si>
  <si>
    <t>Residential</t>
  </si>
  <si>
    <t>2-AEO2019.2.</t>
  </si>
  <si>
    <t>Energy Use: Residential: Propane: Reference case</t>
  </si>
  <si>
    <t>2-AEO2019.3.ref2019-d111618a</t>
  </si>
  <si>
    <t>quads</t>
  </si>
  <si>
    <t>Distillate Fuel Oil</t>
  </si>
  <si>
    <t>Energy Use: Residential: Distillate Fuel Oil: Reference case</t>
  </si>
  <si>
    <t>2-AEO2019.5.ref2019-d111618a</t>
  </si>
  <si>
    <t>Petroleum and Other Liquids Subtotal</t>
  </si>
  <si>
    <t>Energy Use: Residential: Liquid Fuels Subtotal: Reference case</t>
  </si>
  <si>
    <t>2-AEO2019.6.ref2019-d111618a</t>
  </si>
  <si>
    <t>Energy Use: Residential: Natural Gas: Reference case</t>
  </si>
  <si>
    <t>2-AEO2019.7.ref2019-d111618a</t>
  </si>
  <si>
    <t>Renewable Energy</t>
  </si>
  <si>
    <t>Energy Use: Residential: Renewable Energy: Reference case</t>
  </si>
  <si>
    <t>2-AEO2019.8.ref2019-d111618a</t>
  </si>
  <si>
    <t>Purchased Electricity</t>
  </si>
  <si>
    <t>Energy Use: Residential: Electricity: Reference case</t>
  </si>
  <si>
    <t>2-AEO2019.9.ref2019-d111618a</t>
  </si>
  <si>
    <t>Delivered Energy</t>
  </si>
  <si>
    <t>Energy Use: Residential: Delivered Energy: Reference case</t>
  </si>
  <si>
    <t>2-AEO2019.10.ref2019-d111618a</t>
  </si>
  <si>
    <t>Electricity Related Losses</t>
  </si>
  <si>
    <t>Energy Use: Residential: Electricity Related Losses: Reference case</t>
  </si>
  <si>
    <t>2-AEO2019.11.ref2019-d111618a</t>
  </si>
  <si>
    <t>Energy Use: Residential: Total: Reference case</t>
  </si>
  <si>
    <t>2-AEO2019.12.ref2019-d111618a</t>
  </si>
  <si>
    <t>Commercial</t>
  </si>
  <si>
    <t>2-AEO2019.14.</t>
  </si>
  <si>
    <t>Energy Use: Commercial: Propane: Reference case</t>
  </si>
  <si>
    <t>2-AEO2019.15.ref2019-d111618a</t>
  </si>
  <si>
    <t>Motor Gasoline</t>
  </si>
  <si>
    <t>Energy Use: Commercial: Motor Gasoline: Reference case</t>
  </si>
  <si>
    <t>2-AEO2019.16.ref2019-d111618a</t>
  </si>
  <si>
    <t>Kerosene</t>
  </si>
  <si>
    <t>Energy Use: Commercial: Kerosene: Reference case</t>
  </si>
  <si>
    <t>2-AEO2019.17.ref2019-d111618a</t>
  </si>
  <si>
    <t>- -</t>
  </si>
  <si>
    <t>Energy Use: Commercial: Distillate Fuel Oil: Reference case</t>
  </si>
  <si>
    <t>2-AEO2019.18.ref2019-d111618a</t>
  </si>
  <si>
    <t>Residual Fuel Oil</t>
  </si>
  <si>
    <t>Energy Use: Commercial: Residual Fuel Oil: Reference case</t>
  </si>
  <si>
    <t>2-AEO2019.19.ref2019-d111618a</t>
  </si>
  <si>
    <t>Energy Use: Commercial: Liquid Fuels Subtotal: Reference case</t>
  </si>
  <si>
    <t>2-AEO2019.20.ref2019-d111618a</t>
  </si>
  <si>
    <t>Energy Use: Commercial: Natural Gas: Reference case</t>
  </si>
  <si>
    <t>2-AEO2019.21.ref2019-d111618a</t>
  </si>
  <si>
    <t>Coal</t>
  </si>
  <si>
    <t>Energy Use: Commercial: Coal: Reference case</t>
  </si>
  <si>
    <t>2-AEO2019.22.ref2019-d111618a</t>
  </si>
  <si>
    <t>Energy Use: Commercial: Renewable Energy: Reference case</t>
  </si>
  <si>
    <t>2-AEO2019.23.ref2019-d111618a</t>
  </si>
  <si>
    <t>Energy Use: Commercial: Electricity: Reference case</t>
  </si>
  <si>
    <t>2-AEO2019.24.ref2019-d111618a</t>
  </si>
  <si>
    <t>Energy Use: Commercial: Delivered Energy: Reference case</t>
  </si>
  <si>
    <t>2-AEO2019.25.ref2019-d111618a</t>
  </si>
  <si>
    <t>Energy Use: Commercial: Electricity Related Losses: Reference case</t>
  </si>
  <si>
    <t>2-AEO2019.26.ref2019-d111618a</t>
  </si>
  <si>
    <t>Energy Use: Commercial: Total: Reference case</t>
  </si>
  <si>
    <t>2-AEO2019.27.ref2019-d111618a</t>
  </si>
  <si>
    <t>Industrial</t>
  </si>
  <si>
    <t>2-AEO2019.29.</t>
  </si>
  <si>
    <t>Hydrocarbon Gas Liquids</t>
  </si>
  <si>
    <t>Liquefied Petroleum Gases and Other</t>
  </si>
  <si>
    <t>Energy Use: Industrial: Liquefied Petroleum Gases: Reference case</t>
  </si>
  <si>
    <t>2-AEO2019.30.ref2019-d111618a</t>
  </si>
  <si>
    <t>Energy Use: Industrial: Motor Gasoline: Reference case</t>
  </si>
  <si>
    <t>2-AEO2019.31.ref2019-d111618a</t>
  </si>
  <si>
    <t>Energy Use: Industrial: Distillate Fuel Oil: Reference case</t>
  </si>
  <si>
    <t>2-AEO2019.32.ref2019-d111618a</t>
  </si>
  <si>
    <t>Energy Use: Industrial: Residual Fuel Oil: Reference case</t>
  </si>
  <si>
    <t>2-AEO2019.33.ref2019-d111618a</t>
  </si>
  <si>
    <t>Petrochemical Feedstocks</t>
  </si>
  <si>
    <t>Energy Use: Industrial: Petrochemical Feedstocks: Reference case</t>
  </si>
  <si>
    <t>2-AEO2019.34.ref2019-d111618a</t>
  </si>
  <si>
    <t>Other Petroleum</t>
  </si>
  <si>
    <t>Energy Use: Industrial: Other Petroleum: Reference case</t>
  </si>
  <si>
    <t>2-AEO2019.35.ref2019-d111618a</t>
  </si>
  <si>
    <t>Energy Use: Industrial: Liquid Fuels Subtotal: Reference case</t>
  </si>
  <si>
    <t>2-AEO2019.36.ref2019-d111618a</t>
  </si>
  <si>
    <t>Energy Use: Industrial: Natural Gas: Reference case</t>
  </si>
  <si>
    <t>2-AEO2019.37.ref2019-d111618a</t>
  </si>
  <si>
    <t>Natural-Gas-to-Liquids Heat and Power</t>
  </si>
  <si>
    <t>Energy Use: Industrial: Natural-Gas-to-Liquids Heat and Power: Reference case</t>
  </si>
  <si>
    <t>2-AEO2019.38.ref2019-d111618a</t>
  </si>
  <si>
    <t>Lease and Plant Fuel</t>
  </si>
  <si>
    <t>Energy Use: Industrial: Lease and Plant Fuel: Reference case</t>
  </si>
  <si>
    <t>2-AEO2019.39.ref2019-d111618a</t>
  </si>
  <si>
    <t>Natural Gas Subtotal</t>
  </si>
  <si>
    <t>Energy Use: Industrial: Natural Gas Subtotal: Reference case</t>
  </si>
  <si>
    <t>2-AEO2019.41.ref2019-d111618a</t>
  </si>
  <si>
    <t>Metallurgical Coal</t>
  </si>
  <si>
    <t>Energy Use: Industrial: Metallurgical Coal: Reference case</t>
  </si>
  <si>
    <t>2-AEO2019.42.ref2019-d111618a</t>
  </si>
  <si>
    <t>Other Industrial Coal</t>
  </si>
  <si>
    <t>Energy Use: Industrial: Other Industrial Coal: Reference case</t>
  </si>
  <si>
    <t>2-AEO2019.43.ref2019-d111618a</t>
  </si>
  <si>
    <t>Coal-to-Liquids Heat and Power</t>
  </si>
  <si>
    <t>Energy Use: Industrial: Coal-to-Liquids Heat and Power: Reference case</t>
  </si>
  <si>
    <t>2-AEO2019.45.ref2019-d111618a</t>
  </si>
  <si>
    <t>Net Coal Coke Imports</t>
  </si>
  <si>
    <t>Energy Use: Industrial: Net Coal Coke Imports: Reference case</t>
  </si>
  <si>
    <t>2-AEO2019.46.ref2019-d111618a</t>
  </si>
  <si>
    <t>Coal Subtotal</t>
  </si>
  <si>
    <t>Energy Use: Industrial: Coal Subtotal: Reference case</t>
  </si>
  <si>
    <t>2-AEO2019.47.ref2019-d111618a</t>
  </si>
  <si>
    <t>Biofuels Heat and Coproducts</t>
  </si>
  <si>
    <t>Energy Use: Industrial: Biofuels Heat and Coproducts: Reference case</t>
  </si>
  <si>
    <t>2-AEO2019.48.ref2019-d111618a</t>
  </si>
  <si>
    <t>Energy Use: Industrial: Renewable Energy: Reference case</t>
  </si>
  <si>
    <t>2-AEO2019.49.ref2019-d111618a</t>
  </si>
  <si>
    <t>Energy Use: Industrial: Electricity: Reference case</t>
  </si>
  <si>
    <t>2-AEO2019.50.ref2019-d111618a</t>
  </si>
  <si>
    <t>Energy Use: Industrial: Delivered Energy: Reference case</t>
  </si>
  <si>
    <t>2-AEO2019.51.ref2019-d111618a</t>
  </si>
  <si>
    <t>Energy Use: Industrial: Electricity Related Losses: Reference case</t>
  </si>
  <si>
    <t>2-AEO2019.52.ref2019-d111618a</t>
  </si>
  <si>
    <t>Energy Use: Industrial: Total: Reference case</t>
  </si>
  <si>
    <t>2-AEO2019.53.ref2019-d111618a</t>
  </si>
  <si>
    <t>Transportation</t>
  </si>
  <si>
    <t>2-AEO2019.56.</t>
  </si>
  <si>
    <t>Energy Use: Transportation: Propane: Reference case</t>
  </si>
  <si>
    <t>2-AEO2019.57.ref2019-d111618a</t>
  </si>
  <si>
    <t>Energy Use: Transportation: Motor Gasoline: Reference case</t>
  </si>
  <si>
    <t>2-AEO2019.58.ref2019-d111618a</t>
  </si>
  <si>
    <t>of which:  E85</t>
  </si>
  <si>
    <t>Energy Use: Transportation: E85: Reference case</t>
  </si>
  <si>
    <t>2-AEO2019.59.ref2019-d111618a</t>
  </si>
  <si>
    <t>Jet Fuel</t>
  </si>
  <si>
    <t>Energy Use: Transportation: Jet Fuel: Reference case</t>
  </si>
  <si>
    <t>2-AEO2019.60.ref2019-d111618a</t>
  </si>
  <si>
    <t>Energy Use: Transportation: Distillate Fuel Oil: Reference case</t>
  </si>
  <si>
    <t>2-AEO2019.61.ref2019-d111618a</t>
  </si>
  <si>
    <t>Energy Use: Transportation: Residual Fuel Oil: Reference case</t>
  </si>
  <si>
    <t>2-AEO2019.62.ref2019-d111618a</t>
  </si>
  <si>
    <t>Energy Use: Transportation: Other Petroleum: Reference case</t>
  </si>
  <si>
    <t>2-AEO2019.63.ref2019-d111618a</t>
  </si>
  <si>
    <t>Energy Use: Transportation: Liquid Fuels Subtotal: Reference case</t>
  </si>
  <si>
    <t>2-AEO2019.64.ref2019-d111618a</t>
  </si>
  <si>
    <t>Pipeline and Distribution Fuel Natural Gas</t>
  </si>
  <si>
    <t>Energy Use: Transportation: Pipeline Fuel Natural Gas: Reference case</t>
  </si>
  <si>
    <t>2-AEO2019.65.ref2019-d111618a</t>
  </si>
  <si>
    <t>Natural Gas to Liquefy Gas for Export</t>
  </si>
  <si>
    <t>Compressed / Liquefied Natural Gas</t>
  </si>
  <si>
    <t>Energy Use: Transportation: Natural Gas: Reference case</t>
  </si>
  <si>
    <t>2-AEO2019.66.ref2019-d111618a</t>
  </si>
  <si>
    <t>Hydrogen</t>
  </si>
  <si>
    <t>Energy Use: Transportation: Hydrogen: Reference case</t>
  </si>
  <si>
    <t>2-AEO2019.67.ref2019-d111618a</t>
  </si>
  <si>
    <t>Energy Use: Transportation: Electricity: Reference case</t>
  </si>
  <si>
    <t>2-AEO2019.68.ref2019-d111618a</t>
  </si>
  <si>
    <t>Energy Use: Transportation: Delivered Energy: Reference case</t>
  </si>
  <si>
    <t>2-AEO2019.69.ref2019-d111618a</t>
  </si>
  <si>
    <t>Energy Use: Transportation: Electricity Related Losses: Reference case</t>
  </si>
  <si>
    <t>2-AEO2019.70.ref2019-d111618a</t>
  </si>
  <si>
    <t>Energy Use: Transportation: Total: Reference case</t>
  </si>
  <si>
    <t>2-AEO2019.71.ref2019-d111618a</t>
  </si>
  <si>
    <t>Unspecified Sector</t>
  </si>
  <si>
    <t>2-AEO2019.73.</t>
  </si>
  <si>
    <t>Energy Use: Unspecified: Total: Reference case</t>
  </si>
  <si>
    <t>2-AEO2019.77.ref2019-d111618a</t>
  </si>
  <si>
    <t>Delivered Energy Consumption</t>
  </si>
  <si>
    <t xml:space="preserve"> All Sectors</t>
  </si>
  <si>
    <t>2-AEO2019.79.</t>
  </si>
  <si>
    <t>Energy Use: Delivered: All Sectors: Liquefied Petroleum Gases: Reference case</t>
  </si>
  <si>
    <t>2-AEO2019.80.ref2019-d111618a</t>
  </si>
  <si>
    <t>Energy Use: Delivered: All Sectors: Motor Gasoline: Reference case</t>
  </si>
  <si>
    <t>2-AEO2019.81.ref2019-d111618a</t>
  </si>
  <si>
    <t>Energy Use: Delivered: All Sectors: E85: Reference case</t>
  </si>
  <si>
    <t>2-AEO2019.82.ref2019-d111618a</t>
  </si>
  <si>
    <t>Energy Use: Delivered: All Sectors: Jet Fuel: Reference case</t>
  </si>
  <si>
    <t>2-AEO2019.83.ref2019-d111618a</t>
  </si>
  <si>
    <t>Energy Use: Delivered: All Sectors: Kerosene: Reference case</t>
  </si>
  <si>
    <t>2-AEO2019.84.ref2019-d111618a</t>
  </si>
  <si>
    <t>Energy Use: Delivered: All Sectors: Distillate Fuel Oil: Reference case</t>
  </si>
  <si>
    <t>2-AEO2019.85.ref2019-d111618a</t>
  </si>
  <si>
    <t>Energy Use: Delivered: All Sectors: Residual Fuel Oil: Reference case</t>
  </si>
  <si>
    <t>2-AEO2019.86.ref2019-d111618a</t>
  </si>
  <si>
    <t>Energy Use: Delivered: All Sectors: Petrochemical Feedstocks: Reference case</t>
  </si>
  <si>
    <t>2-AEO2019.87.ref2019-d111618a</t>
  </si>
  <si>
    <t>Energy Use: Delivered: All Sectors: Other Petroleum: Reference case</t>
  </si>
  <si>
    <t>2-AEO2019.88.ref2019-d111618a</t>
  </si>
  <si>
    <t>Energy Use: Delivered: All Sectors: Liquid Fuels Subtotal: Reference case</t>
  </si>
  <si>
    <t>2-AEO2019.89.ref2019-d111618a</t>
  </si>
  <si>
    <t>Energy Use: Delivered: All Sectors: Natural Gas: Reference case</t>
  </si>
  <si>
    <t>2-AEO2019.90.ref2019-d111618a</t>
  </si>
  <si>
    <t>Energy Use: Delivered: All Sectors: Natural-Gas-to-Liquids Heat and Power: Reference case</t>
  </si>
  <si>
    <t>2-AEO2019.91.ref2019-d111618a</t>
  </si>
  <si>
    <t>Energy Use: Delivered: All Sectors: Lease and Plant Fuel: Reference case</t>
  </si>
  <si>
    <t>2-AEO2019.92.ref2019-d111618a</t>
  </si>
  <si>
    <t>Energy Use: Delivered: All Sectors: Liquefaction: Reference case</t>
  </si>
  <si>
    <t>2-AEO2019.93.ref2019-d111618a</t>
  </si>
  <si>
    <t>Energy Use: Delivered: All Sectors: Pipeline Natural Gas: Reference case</t>
  </si>
  <si>
    <t>2-AEO2019.94.ref2019-d111618a</t>
  </si>
  <si>
    <t>Energy Use: Delivered: All Sectors: Natural Gas Subtotal: Reference case</t>
  </si>
  <si>
    <t>2-AEO2019.95.ref2019-d111618a</t>
  </si>
  <si>
    <t>Energy Use: Delivered: All Sectors: Metallurgical Coal: Reference case</t>
  </si>
  <si>
    <t>2-AEO2019.96.ref2019-d111618a</t>
  </si>
  <si>
    <t>Other Coal</t>
  </si>
  <si>
    <t>Energy Use: Delivered: All Sectors: Other Coal: Reference case</t>
  </si>
  <si>
    <t>2-AEO2019.97.ref2019-d111618a</t>
  </si>
  <si>
    <t>Energy Use: Delivered: All Sectors: Coal-to-Liquids Heat and Power: Reference case</t>
  </si>
  <si>
    <t>2-AEO2019.98.ref2019-d111618a</t>
  </si>
  <si>
    <t>Energy Use: Delivered: All Sectors: Net Coal Coke Imports: Reference case</t>
  </si>
  <si>
    <t>2-AEO2019.99.ref2019-d111618a</t>
  </si>
  <si>
    <t>Energy Use: Delivered: All Sectors: Coal Subtotal: Reference case</t>
  </si>
  <si>
    <t>2-AEO2019.100.ref2019-d111618a</t>
  </si>
  <si>
    <t>Energy Use: Delivered: All Sectors: Biofuels Heat and Coproducts: Reference case</t>
  </si>
  <si>
    <t>2-AEO2019.101.ref2019-d111618a</t>
  </si>
  <si>
    <t>Energy Use: Delivered: All Sectors: Renewable Energy: Reference case</t>
  </si>
  <si>
    <t>2-AEO2019.102.ref2019-d111618a</t>
  </si>
  <si>
    <t>Energy Use: Delivered: All Sectors: Hydrogen: Reference case</t>
  </si>
  <si>
    <t>2-AEO2019.103.ref2019-d111618a</t>
  </si>
  <si>
    <t>Energy Use: Delivered: All Sectors: Electricity: Reference case</t>
  </si>
  <si>
    <t>2-AEO2019.104.ref2019-d111618a</t>
  </si>
  <si>
    <t>Energy Use: Delivered: All Sectors: Delivered Energy: Reference case</t>
  </si>
  <si>
    <t>2-AEO2019.105.ref2019-d111618a</t>
  </si>
  <si>
    <t>Energy Use: Delivered: All Sectors: Electricity Related Losses: Reference case</t>
  </si>
  <si>
    <t>2-AEO2019.106.ref2019-d111618a</t>
  </si>
  <si>
    <t>Energy Use: Delivered: All Sectors: Total: Reference case</t>
  </si>
  <si>
    <t>2-AEO2019.107.ref2019-d111618a</t>
  </si>
  <si>
    <t>Electric Power</t>
  </si>
  <si>
    <t>2-AEO2019.110.</t>
  </si>
  <si>
    <t>Energy Use: Electric Power: Distillate Fuel Oil: Reference case</t>
  </si>
  <si>
    <t>2-AEO2019.111.ref2019-d111618a</t>
  </si>
  <si>
    <t>Energy Use: Electric Power: Residual Fuel Oil: Reference case</t>
  </si>
  <si>
    <t>2-AEO2019.112.ref2019-d111618a</t>
  </si>
  <si>
    <t>Energy Use: Electric Power: Liquid Fuels Subtotal: Reference case</t>
  </si>
  <si>
    <t>2-AEO2019.113.ref2019-d111618a</t>
  </si>
  <si>
    <t>Energy Use: Electric Power: Natural Gas: Reference case</t>
  </si>
  <si>
    <t>2-AEO2019.114.ref2019-d111618a</t>
  </si>
  <si>
    <t>Steam Coal</t>
  </si>
  <si>
    <t>Energy Use: Electric Power: Steam Coal: Reference case</t>
  </si>
  <si>
    <t>2-AEO2019.115.ref2019-d111618a</t>
  </si>
  <si>
    <t>Nuclear / Uranium</t>
  </si>
  <si>
    <t>Energy Use: Electric Power: Nuclear: Reference case</t>
  </si>
  <si>
    <t>2-AEO2019.116.ref2019-d111618a</t>
  </si>
  <si>
    <t>Energy Use: Electric Power: Renewable Energy: Reference case</t>
  </si>
  <si>
    <t>2-AEO2019.117.ref2019-d111618a</t>
  </si>
  <si>
    <t>Non-biogenic Municipal Waste</t>
  </si>
  <si>
    <t>Energy Use: Electric Power: Non-biogenic Municipal Waste: Reference case</t>
  </si>
  <si>
    <t>2-AEO2019.118.ref2019-d111618a</t>
  </si>
  <si>
    <t>Electricity Imports</t>
  </si>
  <si>
    <t>Energy Use: Electric Power: Electricity Imports: Reference case</t>
  </si>
  <si>
    <t>2-AEO2019.119.ref2019-d111618a</t>
  </si>
  <si>
    <t>Energy Use: Electric Power: Total: Reference case</t>
  </si>
  <si>
    <t>2-AEO2019.120.ref2019-d111618a</t>
  </si>
  <si>
    <t>Total Energy Consumption</t>
  </si>
  <si>
    <t>2-AEO2019.122.</t>
  </si>
  <si>
    <t>Energy Use: Total: Liquefied Petroleum Gases: Reference case</t>
  </si>
  <si>
    <t>2-AEO2019.123.ref2019-d111618a</t>
  </si>
  <si>
    <t>Energy Use: Total: Motor Gasoline: Reference case</t>
  </si>
  <si>
    <t>2-AEO2019.124.ref2019-d111618a</t>
  </si>
  <si>
    <t>Energy Use: Total: E85: Reference case</t>
  </si>
  <si>
    <t>2-AEO2019.125.ref2019-d111618a</t>
  </si>
  <si>
    <t>Energy Use: Total: Jet Fuel: Reference case</t>
  </si>
  <si>
    <t>2-AEO2019.126.ref2019-d111618a</t>
  </si>
  <si>
    <t>Energy Use: Total: Kerosene: Reference case</t>
  </si>
  <si>
    <t>2-AEO2019.127.ref2019-d111618a</t>
  </si>
  <si>
    <t>Energy Use: Total: Distillate Fuel Oil: Reference case</t>
  </si>
  <si>
    <t>2-AEO2019.128.ref2019-d111618a</t>
  </si>
  <si>
    <t>Energy Use: Total: Residual Fuel Oil: Reference case</t>
  </si>
  <si>
    <t>2-AEO2019.129.ref2019-d111618a</t>
  </si>
  <si>
    <t>Energy Use: Total: Petrochemical Feedstocks: Reference case</t>
  </si>
  <si>
    <t>2-AEO2019.130.ref2019-d111618a</t>
  </si>
  <si>
    <t>Energy Use: Total: Other Petroleum: Reference case</t>
  </si>
  <si>
    <t>2-AEO2019.131.ref2019-d111618a</t>
  </si>
  <si>
    <t>Energy Use: Total: Liquid Fuels Subtotal: Reference case</t>
  </si>
  <si>
    <t>2-AEO2019.132.ref2019-d111618a</t>
  </si>
  <si>
    <t>Energy Use: Total: Natural Gas: Reference case</t>
  </si>
  <si>
    <t>2-AEO2019.133.ref2019-d111618a</t>
  </si>
  <si>
    <t>Energy Use: Total: Natural-Gas-to-Liquids Heat and Power: Reference case</t>
  </si>
  <si>
    <t>2-AEO2019.134.ref2019-d111618a</t>
  </si>
  <si>
    <t>Energy Use: Total: Lease and Plant Fuel: Reference case</t>
  </si>
  <si>
    <t>2-AEO2019.135.ref2019-d111618a</t>
  </si>
  <si>
    <t>Energy Use: Total: Liquefaction: Reference case</t>
  </si>
  <si>
    <t>2-AEO2019.136.ref2019-d111618a</t>
  </si>
  <si>
    <t>Energy Use: Total: Pipeline Natural Gas: Reference case</t>
  </si>
  <si>
    <t>2-AEO2019.137.ref2019-d111618a</t>
  </si>
  <si>
    <t>Energy Use: Total: Natural Gas Subtotal: Reference case</t>
  </si>
  <si>
    <t>2-AEO2019.138.ref2019-d111618a</t>
  </si>
  <si>
    <t>Energy Use: Total: Metallurgical Coal: Reference case</t>
  </si>
  <si>
    <t>2-AEO2019.139.ref2019-d111618a</t>
  </si>
  <si>
    <t>Energy Use: Total: Other Coal: Reference case</t>
  </si>
  <si>
    <t>2-AEO2019.140.ref2019-d111618a</t>
  </si>
  <si>
    <t>Energy Use: Total: Coal-to-Liquids Heat and Power: Reference case</t>
  </si>
  <si>
    <t>2-AEO2019.141.ref2019-d111618a</t>
  </si>
  <si>
    <t>Energy Use: Total: Net Coal Coke Imports: Reference case</t>
  </si>
  <si>
    <t>2-AEO2019.142.ref2019-d111618a</t>
  </si>
  <si>
    <t>Energy Use: Total: Coal Subtotal: Reference case</t>
  </si>
  <si>
    <t>2-AEO2019.143.ref2019-d111618a</t>
  </si>
  <si>
    <t>Energy Use: Total: Nuclear: Reference case</t>
  </si>
  <si>
    <t>2-AEO2019.144.ref2019-d111618a</t>
  </si>
  <si>
    <t>Energy Use: Total: Biofuels Heat and Coproducts: Reference case</t>
  </si>
  <si>
    <t>2-AEO2019.145.ref2019-d111618a</t>
  </si>
  <si>
    <t>Energy Use: Total: Renewable Energy: Reference case</t>
  </si>
  <si>
    <t>2-AEO2019.146.ref2019-d111618a</t>
  </si>
  <si>
    <t>Energy Use: Total: Hydrogen: Reference case</t>
  </si>
  <si>
    <t>2-AEO2019.147.ref2019-d111618a</t>
  </si>
  <si>
    <t>Energy Use: Total: Non-biogenic Municipal Waste: Reference case</t>
  </si>
  <si>
    <t>2-AEO2019.148.ref2019-d111618a</t>
  </si>
  <si>
    <t>Energy Use: Total: Electricity Imports: Reference case</t>
  </si>
  <si>
    <t>2-AEO2019.149.ref2019-d111618a</t>
  </si>
  <si>
    <t>Energy Use: Total: Total: Reference case</t>
  </si>
  <si>
    <t>2-AEO2019.150.ref2019-d111618a</t>
  </si>
  <si>
    <t>Energy Use &amp; Related Statistics</t>
  </si>
  <si>
    <t>2-AEO2019.152.</t>
  </si>
  <si>
    <t>Delivered Energy Use</t>
  </si>
  <si>
    <t>Energy Use &amp; Related Statistics: Delivered Energy Use: Reference case</t>
  </si>
  <si>
    <t>2-AEO2019.153.ref2019-d111618a</t>
  </si>
  <si>
    <t>Total Energy Use</t>
  </si>
  <si>
    <t>Energy Use &amp; Related Statistics: Total Energy Use: Reference case</t>
  </si>
  <si>
    <t>2-AEO2019.154.ref2019-d111618a</t>
  </si>
  <si>
    <t>ethanol (denatured) Consumed in Motor Gasolin</t>
  </si>
  <si>
    <t>Ethanol Consumed in Motor Gasoline and E85</t>
  </si>
  <si>
    <t>Energy Use &amp; Related Statistics: Ethanol Consumed in Motor Gasoline and E85: Reference case</t>
  </si>
  <si>
    <t>2-AEO2019.155.ref2019-d111618a</t>
  </si>
  <si>
    <t>Population (millions)</t>
  </si>
  <si>
    <t>Energy Use &amp; Related Statistics: Population: Reference case</t>
  </si>
  <si>
    <t>2-AEO2019.156.ref2019-d111618a</t>
  </si>
  <si>
    <t>millions</t>
  </si>
  <si>
    <t>Gross Domestic Product (billion 2012 dollars)</t>
  </si>
  <si>
    <t>Gross Domestic Product (billion 2009 dollars)</t>
  </si>
  <si>
    <t>Energy Use &amp; Related Statistics: Gross Domestic Product: Reference case</t>
  </si>
  <si>
    <t>2-AEO2019.157.ref2019-d111618a</t>
  </si>
  <si>
    <t>billion 2009 $</t>
  </si>
  <si>
    <t>Carbon Dioxide Emissions (million metric</t>
  </si>
  <si>
    <t>2-AEO2019.158.</t>
  </si>
  <si>
    <t>tons carbon dioxide)</t>
  </si>
  <si>
    <t>Energy Use &amp; Related Statistics: Carbon Dioxide Emissions: Reference case</t>
  </si>
  <si>
    <t>2-AEO2019.159.ref2019-d111618a</t>
  </si>
  <si>
    <t>MMmtCO2</t>
  </si>
  <si>
    <t>Table 17.  Renewable Energy Consumption by Sector and Source</t>
  </si>
  <si>
    <t>https://www.eia.gov/outlooks/aeo/data/browser/#/?id=24-AEO2023&amp;cases=ref2023&amp;sourcekey=0</t>
  </si>
  <si>
    <t>https://www.eia.gov/outlooks/aeo/data/browser/#/?id=24-AEO2020&amp;cases=ref2020&amp;sourcekey=0</t>
  </si>
  <si>
    <t>Tue Jun 06 2023 11:29:47 GMT-0700 (Pacific Daylight Time)</t>
  </si>
  <si>
    <t>Mon May 04 2020 11:06:03 GMT-0700 (Pacific Daylight Time)</t>
  </si>
  <si>
    <t>Marketed Renewable Energy</t>
  </si>
  <si>
    <t>Pinned Series</t>
  </si>
  <si>
    <t>Marketed Renewable Energy1</t>
  </si>
  <si>
    <t>24-AEO2019.2.</t>
  </si>
  <si>
    <t>Residential (wood)</t>
  </si>
  <si>
    <t>Renewable Energy: Marketed Use: Residential: Wood: Reference case</t>
  </si>
  <si>
    <t>24-AEO2019.4.ref2019-d111618a</t>
  </si>
  <si>
    <t>Commercial (biomass)</t>
  </si>
  <si>
    <t>Renewable Energy: Marketed Use: Commercial: Biomass: Reference case</t>
  </si>
  <si>
    <t>24-AEO2019.6.ref2019-d111618a</t>
  </si>
  <si>
    <t>Renewable Energy: Marketed Use: Industrial: Reference case</t>
  </si>
  <si>
    <t>24-AEO2019.8.ref2019-d111618a</t>
  </si>
  <si>
    <t>Conventional Hydroelectric Power</t>
  </si>
  <si>
    <t>Renewable Energy: Marketed Use: Industrial: Hydropower: Reference case</t>
  </si>
  <si>
    <t>24-AEO2019.9.ref2019-d111618a</t>
  </si>
  <si>
    <t>Municipal Waste</t>
  </si>
  <si>
    <t>Renewable Energy: Marketed Use: Industrial: Municipal Waste: Reference case</t>
  </si>
  <si>
    <t>24-AEO2019.10.ref2019-d111618a</t>
  </si>
  <si>
    <t>Biomass</t>
  </si>
  <si>
    <t>Renewable Energy: Marketed Use: Industrial: Biomass: Reference case</t>
  </si>
  <si>
    <t>24-AEO2019.11.ref2019-d111618a</t>
  </si>
  <si>
    <t>Renewable Energy: Marketed Use: Industrial: Biofuels Heat and Coproducts: Reference case</t>
  </si>
  <si>
    <t>24-AEO2019.12.ref2019-d111618a</t>
  </si>
  <si>
    <t>Renewable Energy: Marketed Use: Transportation: Reference case</t>
  </si>
  <si>
    <t>24-AEO2019.14.ref2019-d111618a</t>
  </si>
  <si>
    <t>Ethanol used in E85</t>
  </si>
  <si>
    <t>Renewable Energy: Marketed Use: Transportation: Ethanol used in E85: Reference case</t>
  </si>
  <si>
    <t>24-AEO2019.15.ref2019-d111618a</t>
  </si>
  <si>
    <t>Ethanol used in Gasoline Blending</t>
  </si>
  <si>
    <t>Renewable Energy: Marketed Use: Transportation: Ethanol used in Gasoline Blending: Reference case</t>
  </si>
  <si>
    <t>24-AEO2019.16.ref2019-d111618a</t>
  </si>
  <si>
    <t>Biodiesel used in Distillate Blending</t>
  </si>
  <si>
    <t>Renewable Energy: Marketed Use: Transportation: Biodiesel used in Distillate Blending: Reference case</t>
  </si>
  <si>
    <t>24-AEO2019.17.ref2019-d111618a</t>
  </si>
  <si>
    <t>Biobutanol</t>
  </si>
  <si>
    <t>Renewable Energy: Marketed Use: Transportation: Biobutanol: Reference case</t>
  </si>
  <si>
    <t>24-AEO2019.18.ref2019-d111618a</t>
  </si>
  <si>
    <t>Liquids from Biomass</t>
  </si>
  <si>
    <t>Renewable Energy: Marketed Use: Transportation: Liquids from Biomass: Reference case</t>
  </si>
  <si>
    <t>24-AEO2019.19.ref2019-d111618a</t>
  </si>
  <si>
    <t>Renewable Diesel and Gasoline</t>
  </si>
  <si>
    <t>Renewable Energy: Marketed Use: Transportation: Green Liquids: Reference case</t>
  </si>
  <si>
    <t>24-AEO2019.20.ref2019-d111618a</t>
  </si>
  <si>
    <t>Renewable Energy: Marketed Use: Electric Power: Reference case</t>
  </si>
  <si>
    <t>24-AEO2019.22.ref2019-d111618a</t>
  </si>
  <si>
    <t>Renewable Energy: Marketed Use: Electric Power: Hydropower: Reference case</t>
  </si>
  <si>
    <t>24-AEO2019.23.ref2019-d111618a</t>
  </si>
  <si>
    <t>Geothermal</t>
  </si>
  <si>
    <t>Renewable Energy: Marketed Use: Electric Power: Geothermal: Reference case</t>
  </si>
  <si>
    <t>24-AEO2019.24.ref2019-d111618a</t>
  </si>
  <si>
    <t>Biogenic Municipal Waste</t>
  </si>
  <si>
    <t>Renewable Energy: Marketed Use: Electric Power: Biogenic Municipal Waste: Reference case</t>
  </si>
  <si>
    <t>24-AEO2019.25.ref2019-d111618a</t>
  </si>
  <si>
    <t>Renewable Energy: Marketed Use: Electric Power: Biomass: Reference case</t>
  </si>
  <si>
    <t>24-AEO2019.26.ref2019-d111618a</t>
  </si>
  <si>
    <t>Dedicated Plants</t>
  </si>
  <si>
    <t>Renewable Energy: Marketed Use: Electric Power: Biomass: Dedicated Plants: Reference case</t>
  </si>
  <si>
    <t>24-AEO2019.27.ref2019-d111618a</t>
  </si>
  <si>
    <t>Cofiring</t>
  </si>
  <si>
    <t>Renewable Energy: Marketed Use: Electric Power: Biomass: Cofiring: Reference case</t>
  </si>
  <si>
    <t>24-AEO2019.28.ref2019-d111618a</t>
  </si>
  <si>
    <t>Solar Thermal</t>
  </si>
  <si>
    <t>Renewable Energy: Marketed Use: Electric Power: Solar Thermal: Reference case</t>
  </si>
  <si>
    <t>24-AEO2019.29.ref2019-d111618a</t>
  </si>
  <si>
    <t>Solar Photovoltaic</t>
  </si>
  <si>
    <t>Renewable Energy: Marketed Use: Electric Power: Solar Photovoltaic: Reference case</t>
  </si>
  <si>
    <t>24-AEO2019.30.ref2019-d111618a</t>
  </si>
  <si>
    <t>Wind</t>
  </si>
  <si>
    <t>Renewable Energy: Marketed Use: Electric Power: Wind: Reference case</t>
  </si>
  <si>
    <t>24-AEO2019.31.ref2019-d111618a</t>
  </si>
  <si>
    <t>Total Marketed Renewable Energy</t>
  </si>
  <si>
    <t>Renewable Energy: Total Marketed Renewable Energy Use: Reference case</t>
  </si>
  <si>
    <t>24-AEO2019.33.ref2019-d111618a</t>
  </si>
  <si>
    <t>Sources of Ethanol</t>
  </si>
  <si>
    <t>24-AEO2019.35.</t>
  </si>
  <si>
    <t>From Corn and Other Starch</t>
  </si>
  <si>
    <t>Renewable Energy: Sources of Ethanol: From Corn: Reference case</t>
  </si>
  <si>
    <t>24-AEO2019.36.ref2019-d111618a</t>
  </si>
  <si>
    <t>From Cellulose</t>
  </si>
  <si>
    <t>Renewable Energy: Sources of Ethanol: From Cellulose: Reference case</t>
  </si>
  <si>
    <t>24-AEO2019.37.ref2019-d111618a</t>
  </si>
  <si>
    <t>Net Imports</t>
  </si>
  <si>
    <t>Renewable Energy: Sources of Ethanol: Net Imports: Reference case</t>
  </si>
  <si>
    <t>24-AEO2019.38.ref2019-d111618a</t>
  </si>
  <si>
    <t>Total U.S. Supply of Ethanol</t>
  </si>
  <si>
    <t>Renewable Energy: Total U.S. Supply of Ethanol: Reference case</t>
  </si>
  <si>
    <t>24-AEO2019.39.ref2019-d111618a</t>
  </si>
  <si>
    <t>Nonmarketed Renewable Energy</t>
  </si>
  <si>
    <t>24-AEO2019.50.</t>
  </si>
  <si>
    <t>Selected Consumption</t>
  </si>
  <si>
    <t>24-AEO2019.51.</t>
  </si>
  <si>
    <t>Renewable Energy: Nonmarketed Selected Use: Residential: Reference case</t>
  </si>
  <si>
    <t>24-AEO2019.53.ref2019-d111618a</t>
  </si>
  <si>
    <t>Solar Hot Water Heating</t>
  </si>
  <si>
    <t>Renewable Energy: Nonmarketed Selected Use: Residential: Solar Hot Water Heating: Reference case</t>
  </si>
  <si>
    <t>24-AEO2019.54.ref2019-d111618a</t>
  </si>
  <si>
    <t>Geothermal Heat Pumps</t>
  </si>
  <si>
    <t>Renewable Energy: Nonmarketed Selected Use: Residential: Geothermal Heat Pumps: Reference case</t>
  </si>
  <si>
    <t>24-AEO2019.55.ref2019-d111618a</t>
  </si>
  <si>
    <t>Renewable Energy: Nonmarketed Selected Use: Residential: Solar Photovoltaic: Reference case</t>
  </si>
  <si>
    <t>24-AEO2019.56.ref2019-d111618a</t>
  </si>
  <si>
    <t>Renewable Energy: Nonmarketed Selected Use: Residential: Wind: Reference case</t>
  </si>
  <si>
    <t>24-AEO2019.57.ref2019-d111618a</t>
  </si>
  <si>
    <t>Renewable Energy: Nonmarketed Selected Use: Commercial: Reference case</t>
  </si>
  <si>
    <t>24-AEO2019.59.ref2019-d111618a</t>
  </si>
  <si>
    <t>Renewable Energy: Nonmarketed Selected Use: Commercial: Solar Thermal: Reference case</t>
  </si>
  <si>
    <t>24-AEO2019.60.ref2019-d111618a</t>
  </si>
  <si>
    <t>Renewable Energy: Nonmarketed Selected Use: Commercial: Solar Photovoltaic: Reference case</t>
  </si>
  <si>
    <t>24-AEO2019.61.ref2019-d111618a</t>
  </si>
  <si>
    <t>Renewable Energy: Nonmarketed Selected Use: Commercial: Wind: Reference case</t>
  </si>
  <si>
    <t>24-AEO2019.62.ref2019-d111618a</t>
  </si>
  <si>
    <t>Sum of value</t>
  </si>
  <si>
    <t>forecast_date</t>
  </si>
  <si>
    <t>Table 2: Parameters for Clean Fuels Forecast</t>
  </si>
  <si>
    <t>Energy
Density</t>
  </si>
  <si>
    <t>Carbon Intensity
Target</t>
  </si>
  <si>
    <t>Carbon Intensity Assumption</t>
  </si>
  <si>
    <t>parameter_name</t>
  </si>
  <si>
    <t>2024*</t>
  </si>
  <si>
    <t>EnDen</t>
  </si>
  <si>
    <t>gasoline</t>
  </si>
  <si>
    <t>gasoline_E10</t>
  </si>
  <si>
    <t>diesel</t>
  </si>
  <si>
    <t>KWh/vehicle (res)</t>
  </si>
  <si>
    <t>EERelect</t>
  </si>
  <si>
    <t>EER_NG</t>
  </si>
  <si>
    <t>Jet_Fuel</t>
  </si>
  <si>
    <t>Liq. Petroleum Gas</t>
  </si>
  <si>
    <t>CI_Target</t>
  </si>
  <si>
    <t>* represents the assumption for the 2024 Clean Fuels forecast.</t>
  </si>
  <si>
    <t>CI_Actual</t>
  </si>
  <si>
    <t>Naming Convention</t>
  </si>
  <si>
    <t>T0</t>
  </si>
  <si>
    <t>Compliance Period</t>
  </si>
  <si>
    <t>T1</t>
  </si>
  <si>
    <t>One Year Prior to Compliance Period</t>
  </si>
  <si>
    <t>T2</t>
  </si>
  <si>
    <t>Two Years Prior to Compliance Period</t>
  </si>
  <si>
    <t>ED</t>
  </si>
  <si>
    <t>Energy Density</t>
  </si>
  <si>
    <t>CIT</t>
  </si>
  <si>
    <t>Carbon Intensity Target</t>
  </si>
  <si>
    <t>CIA</t>
  </si>
  <si>
    <t>Carbon Intensity Actual</t>
  </si>
  <si>
    <t>CBOB</t>
  </si>
  <si>
    <t>BR</t>
  </si>
  <si>
    <t>Parameter</t>
  </si>
  <si>
    <t>KWh_vehicle</t>
  </si>
  <si>
    <t>GR</t>
  </si>
  <si>
    <t>Growth Rate</t>
  </si>
  <si>
    <t>EEReon</t>
  </si>
  <si>
    <t>EERng</t>
  </si>
  <si>
    <t>gas</t>
  </si>
  <si>
    <t>Gasoling</t>
  </si>
  <si>
    <t>eth</t>
  </si>
  <si>
    <t>bio</t>
  </si>
  <si>
    <t>ren</t>
  </si>
  <si>
    <t>eon</t>
  </si>
  <si>
    <t>On-Road Electricity</t>
  </si>
  <si>
    <t>Natural_Gas</t>
  </si>
  <si>
    <t>fcg</t>
  </si>
  <si>
    <t>Compressed Natural Gas</t>
  </si>
  <si>
    <t>flg</t>
  </si>
  <si>
    <t>Liquified Natural Gas</t>
  </si>
  <si>
    <t>bgs</t>
  </si>
  <si>
    <t>lp</t>
  </si>
  <si>
    <t>KWh</t>
  </si>
  <si>
    <t>Kilowatt Hours per Vehicle</t>
  </si>
  <si>
    <t>EER</t>
  </si>
  <si>
    <t>Energy Efficiency Ratio</t>
  </si>
  <si>
    <t>value</t>
  </si>
  <si>
    <t>**</t>
  </si>
  <si>
    <t>Link to the rule, from there find the ED and CI tables</t>
  </si>
  <si>
    <t>https://secure.sos.state.or.us/oard/viewSingleRule.action?ruleVrsnRsn=269347</t>
  </si>
  <si>
    <t>** OAR 340-253-8010  Table 6  Oregon Energy Densities of Fuels</t>
  </si>
  <si>
    <t>*</t>
  </si>
  <si>
    <t>* OAR 340-253-8010  Table 4  Oregon Carbon Intensity Lookup Table</t>
  </si>
  <si>
    <t>Those parameters not indicated with an asterisk are dictated from within the forecast process.</t>
  </si>
  <si>
    <t>CI Targets</t>
  </si>
  <si>
    <t>Actual Cis</t>
  </si>
  <si>
    <t>Differences</t>
  </si>
  <si>
    <t>Renew Diesel</t>
  </si>
  <si>
    <t>These are parameters from the DEQ tables. All of the colored parameters are chosen by OEA.</t>
  </si>
  <si>
    <t>KWh_Vehicle</t>
  </si>
  <si>
    <t>***</t>
  </si>
  <si>
    <t>*** OAR 340-253-8010  Table 7  Oregon Energy Economy Ratio Values for Fuels</t>
  </si>
  <si>
    <t>Growth Rates by Fuel Type, EIA vs. ODOT vs. CFP/OEA</t>
  </si>
  <si>
    <r>
      <t>Motor Gasoline</t>
    </r>
    <r>
      <rPr>
        <sz val="11"/>
        <color theme="1"/>
        <rFont val="Calibri"/>
        <family val="2"/>
        <scheme val="minor"/>
      </rPr>
      <t xml:space="preserve"> (Y/Y change)</t>
    </r>
  </si>
  <si>
    <t>2016-24
Ann. Growth</t>
  </si>
  <si>
    <t>EIA Pacific Outlook</t>
  </si>
  <si>
    <t>ODOT Gasoline Forecast</t>
  </si>
  <si>
    <t>Clean Fuels Program</t>
  </si>
  <si>
    <r>
      <t>Ethanol</t>
    </r>
    <r>
      <rPr>
        <sz val="11"/>
        <color theme="1"/>
        <rFont val="Calibri"/>
        <family val="2"/>
        <scheme val="minor"/>
      </rPr>
      <t xml:space="preserve"> (Y/Y change)</t>
    </r>
  </si>
  <si>
    <t>EIA National Outlook</t>
  </si>
  <si>
    <r>
      <t>Total Diesel</t>
    </r>
    <r>
      <rPr>
        <sz val="11"/>
        <color theme="1"/>
        <rFont val="Calibri"/>
        <family val="2"/>
        <scheme val="minor"/>
      </rPr>
      <t xml:space="preserve"> (Y/Y change)</t>
    </r>
  </si>
  <si>
    <t>ODOT Diesel Forecast</t>
  </si>
  <si>
    <r>
      <t>Biodiesel</t>
    </r>
    <r>
      <rPr>
        <sz val="11"/>
        <color theme="1"/>
        <rFont val="Calibri"/>
        <family val="2"/>
        <scheme val="minor"/>
      </rPr>
      <t xml:space="preserve"> (Y/Y change)</t>
    </r>
  </si>
  <si>
    <r>
      <t xml:space="preserve">Renewable Diesel </t>
    </r>
    <r>
      <rPr>
        <sz val="11"/>
        <color theme="1"/>
        <rFont val="Calibri"/>
        <family val="2"/>
        <scheme val="minor"/>
      </rPr>
      <t>(Y/Y change)</t>
    </r>
  </si>
  <si>
    <t>* reflects Q4 2018 versus Q4 2017.</t>
  </si>
  <si>
    <r>
      <t xml:space="preserve">On-road Electricity </t>
    </r>
    <r>
      <rPr>
        <sz val="11"/>
        <color theme="1"/>
        <rFont val="Calibri"/>
        <family val="2"/>
        <scheme val="minor"/>
      </rPr>
      <t>(Y/Y change)</t>
    </r>
  </si>
  <si>
    <t>ODOT Electric Vehicle</t>
  </si>
  <si>
    <r>
      <t xml:space="preserve">Off-road Electricity </t>
    </r>
    <r>
      <rPr>
        <sz val="11"/>
        <color theme="1"/>
        <rFont val="Calibri"/>
        <family val="2"/>
        <scheme val="minor"/>
      </rPr>
      <t>(Y/Y change)</t>
    </r>
  </si>
  <si>
    <r>
      <t>Natural Gas</t>
    </r>
    <r>
      <rPr>
        <sz val="11"/>
        <color theme="1"/>
        <rFont val="Calibri"/>
        <family val="2"/>
        <scheme val="minor"/>
      </rPr>
      <t xml:space="preserve"> (Y/Y change)</t>
    </r>
  </si>
  <si>
    <r>
      <t xml:space="preserve">Liq. Petroleum Gas </t>
    </r>
    <r>
      <rPr>
        <sz val="11"/>
        <color theme="1"/>
        <rFont val="Calibri"/>
        <family val="2"/>
        <scheme val="minor"/>
      </rPr>
      <t>(Y/Y change)</t>
    </r>
  </si>
  <si>
    <t>This workbook contains the forecasting model for the 2025 Clean Fuels forecast, administered by the Office of Economic Analysis (Oregon Department of Administrative Services) in coordination with the Clean Fuels Program (Oregon Department of Environmental Quality).
All questions regarding this model should be directed to:
Michael Kennedy
Senior Economist, Office of Economic Analysis
michael.kennedy@das.oregon.gov
(971) 678-5595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</si>
</sst>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0.000"/>
    <numFmt numFmtId="167" formatCode="_(* #,##0_);_(* \(#,##0\);_(* &quot;-&quot;??_);_(@_)"/>
    <numFmt numFmtId="168" formatCode="0.0"/>
  </numFmts>
  <fonts count="40" x14ac:knownFonts="1">
    <font>
      <sz val="11"/>
      <color theme="1"/>
      <name val="Calibri"/>
      <family val="2"/>
      <scheme val="minor"/>
    </font>
    <font>
      <sz val="11"/>
      <color theme="1"/>
      <name val="Calibri"/>
      <family val="2"/>
      <scheme val="minor"/>
    </font>
    <font>
      <b/>
      <sz val="11"/>
      <color theme="1"/>
      <name val="Calibri"/>
      <family val="2"/>
      <scheme val="minor"/>
    </font>
    <font>
      <sz val="9"/>
      <color indexed="8"/>
      <name val="Calibri"/>
      <family val="2"/>
    </font>
    <font>
      <b/>
      <sz val="9"/>
      <color indexed="8"/>
      <name val="Calibri"/>
      <family val="2"/>
    </font>
    <font>
      <b/>
      <sz val="12"/>
      <color indexed="30"/>
      <name val="Calibri"/>
      <family val="2"/>
    </font>
    <font>
      <sz val="11"/>
      <name val="Calibri"/>
      <family val="2"/>
      <scheme val="minor"/>
    </font>
    <font>
      <b/>
      <sz val="14"/>
      <color theme="1"/>
      <name val="Calibri"/>
      <family val="2"/>
      <scheme val="minor"/>
    </font>
    <font>
      <sz val="10"/>
      <color theme="1"/>
      <name val="Calibri"/>
      <family val="2"/>
      <scheme val="minor"/>
    </font>
    <font>
      <i/>
      <sz val="11"/>
      <color theme="1"/>
      <name val="Calibri"/>
      <family val="2"/>
      <scheme val="minor"/>
    </font>
    <font>
      <b/>
      <sz val="11"/>
      <name val="Calibri"/>
      <family val="2"/>
      <scheme val="minor"/>
    </font>
    <font>
      <b/>
      <sz val="16"/>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u/>
      <sz val="11"/>
      <color theme="10"/>
      <name val="Calibri"/>
      <family val="2"/>
      <scheme val="minor"/>
    </font>
    <font>
      <sz val="10"/>
      <color rgb="FF000000"/>
      <name val="Arial"/>
      <family val="2"/>
    </font>
    <font>
      <sz val="9"/>
      <color indexed="81"/>
      <name val="Tahoma"/>
      <family val="2"/>
    </font>
    <font>
      <b/>
      <sz val="9"/>
      <color indexed="81"/>
      <name val="Tahoma"/>
      <family val="2"/>
    </font>
    <font>
      <sz val="18"/>
      <color theme="3"/>
      <name val="Calibri Light"/>
      <family val="2"/>
      <scheme val="major"/>
    </font>
    <font>
      <sz val="8"/>
      <name val="Calibri"/>
      <family val="2"/>
      <scheme val="minor"/>
    </font>
    <font>
      <sz val="12"/>
      <color theme="1"/>
      <name val="Calibri"/>
      <family val="2"/>
      <scheme val="minor"/>
    </font>
    <font>
      <sz val="14"/>
      <color theme="1"/>
      <name val="Calibri"/>
      <family val="2"/>
      <scheme val="minor"/>
    </font>
    <font>
      <b/>
      <sz val="12"/>
      <color theme="1"/>
      <name val="Calibri"/>
      <family val="2"/>
      <scheme val="minor"/>
    </font>
    <font>
      <b/>
      <sz val="14"/>
      <color theme="0"/>
      <name val="Calibri"/>
      <family val="2"/>
      <scheme val="minor"/>
    </font>
    <font>
      <b/>
      <i/>
      <u/>
      <sz val="11"/>
      <color theme="1"/>
      <name val="Calibri"/>
      <family val="2"/>
      <scheme val="minor"/>
    </font>
    <font>
      <b/>
      <sz val="18"/>
      <color theme="1"/>
      <name val="Calibri"/>
      <family val="2"/>
      <scheme val="minor"/>
    </font>
    <font>
      <i/>
      <sz val="8"/>
      <color theme="1"/>
      <name val="Calibri"/>
      <family val="2"/>
      <scheme val="minor"/>
    </font>
  </fonts>
  <fills count="5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79998168889431442"/>
        <bgColor theme="4" tint="0.79998168889431442"/>
      </patternFill>
    </fill>
    <fill>
      <patternFill patternType="solid">
        <fgColor rgb="FFFF99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rgb="FFA5FBFD"/>
        <bgColor indexed="64"/>
      </patternFill>
    </fill>
    <fill>
      <patternFill patternType="solid">
        <fgColor rgb="FF66FFFF"/>
        <bgColor indexed="64"/>
      </patternFill>
    </fill>
    <fill>
      <patternFill patternType="solid">
        <fgColor theme="7" tint="0.59999389629810485"/>
        <bgColor indexed="64"/>
      </patternFill>
    </fill>
    <fill>
      <patternFill patternType="solid">
        <fgColor theme="1"/>
        <bgColor indexed="64"/>
      </patternFill>
    </fill>
    <fill>
      <patternFill patternType="solid">
        <fgColor rgb="FFCCFF66"/>
        <bgColor indexed="64"/>
      </patternFill>
    </fill>
    <fill>
      <patternFill patternType="solid">
        <fgColor rgb="FFFFCCFF"/>
        <bgColor indexed="64"/>
      </patternFill>
    </fill>
    <fill>
      <patternFill patternType="solid">
        <fgColor theme="4" tint="0.79998168889431442"/>
        <bgColor indexed="64"/>
      </patternFill>
    </fill>
    <fill>
      <patternFill patternType="solid">
        <fgColor rgb="FFCCFFCC"/>
        <bgColor indexed="64"/>
      </patternFill>
    </fill>
    <fill>
      <patternFill patternType="solid">
        <fgColor rgb="FFFFFFCC"/>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9"/>
        <bgColor indexed="64"/>
      </patternFill>
    </fill>
    <fill>
      <patternFill patternType="solid">
        <fgColor theme="9" tint="0.39997558519241921"/>
        <bgColor indexed="64"/>
      </patternFill>
    </fill>
  </fills>
  <borders count="40">
    <border>
      <left/>
      <right/>
      <top/>
      <bottom/>
      <diagonal/>
    </border>
    <border>
      <left/>
      <right/>
      <top/>
      <bottom style="thick">
        <color rgb="FF0096D7"/>
      </bottom>
      <diagonal/>
    </border>
    <border>
      <left/>
      <right/>
      <top/>
      <bottom style="thin">
        <color rgb="FFBFBFBF"/>
      </bottom>
      <diagonal/>
    </border>
    <border>
      <left/>
      <right/>
      <top/>
      <bottom style="dashed">
        <color rgb="FFBFBFBF"/>
      </bottom>
      <diagonal/>
    </border>
    <border>
      <left/>
      <right/>
      <top style="medium">
        <color rgb="FF0096D7"/>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theme="4" tint="0.39997558519241921"/>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2">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4" fillId="0" borderId="1" applyNumberFormat="0" applyProtection="0">
      <alignment wrapText="1"/>
    </xf>
    <xf numFmtId="0" fontId="5" fillId="0" borderId="0" applyNumberFormat="0" applyProtection="0">
      <alignment horizontal="left"/>
    </xf>
    <xf numFmtId="0" fontId="4" fillId="0" borderId="2" applyNumberFormat="0" applyProtection="0">
      <alignment wrapText="1"/>
    </xf>
    <xf numFmtId="0" fontId="3" fillId="0" borderId="3" applyNumberFormat="0" applyFont="0" applyProtection="0">
      <alignment wrapText="1"/>
    </xf>
    <xf numFmtId="0" fontId="3" fillId="0" borderId="4" applyNumberFormat="0" applyProtection="0">
      <alignment wrapText="1"/>
    </xf>
    <xf numFmtId="0" fontId="12" fillId="0" borderId="14" applyNumberFormat="0" applyFill="0" applyAlignment="0" applyProtection="0"/>
    <xf numFmtId="0" fontId="13" fillId="0" borderId="15" applyNumberFormat="0" applyFill="0" applyAlignment="0" applyProtection="0"/>
    <xf numFmtId="0" fontId="14" fillId="0" borderId="16" applyNumberFormat="0" applyFill="0" applyAlignment="0" applyProtection="0"/>
    <xf numFmtId="0" fontId="14" fillId="0" borderId="0" applyNumberFormat="0" applyFill="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0" applyNumberFormat="0" applyBorder="0" applyAlignment="0" applyProtection="0"/>
    <xf numFmtId="0" fontId="18" fillId="11" borderId="17" applyNumberFormat="0" applyAlignment="0" applyProtection="0"/>
    <xf numFmtId="0" fontId="19" fillId="12" borderId="18" applyNumberFormat="0" applyAlignment="0" applyProtection="0"/>
    <xf numFmtId="0" fontId="20" fillId="12" borderId="17" applyNumberFormat="0" applyAlignment="0" applyProtection="0"/>
    <xf numFmtId="0" fontId="21" fillId="0" borderId="19" applyNumberFormat="0" applyFill="0" applyAlignment="0" applyProtection="0"/>
    <xf numFmtId="0" fontId="22" fillId="13" borderId="20" applyNumberFormat="0" applyAlignment="0" applyProtection="0"/>
    <xf numFmtId="0" fontId="23" fillId="0" borderId="0" applyNumberFormat="0" applyFill="0" applyBorder="0" applyAlignment="0" applyProtection="0"/>
    <xf numFmtId="0" fontId="1" fillId="14" borderId="21" applyNumberFormat="0" applyFont="0" applyAlignment="0" applyProtection="0"/>
    <xf numFmtId="0" fontId="24" fillId="0" borderId="0" applyNumberFormat="0" applyFill="0" applyBorder="0" applyAlignment="0" applyProtection="0"/>
    <xf numFmtId="0" fontId="2" fillId="0" borderId="22" applyNumberFormat="0" applyFill="0" applyAlignment="0" applyProtection="0"/>
    <xf numFmtId="0" fontId="2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5" fillId="38" borderId="0" applyNumberFormat="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cellStyleXfs>
  <cellXfs count="229">
    <xf numFmtId="0" fontId="0" fillId="0" borderId="0" xfId="0"/>
    <xf numFmtId="0" fontId="0" fillId="3" borderId="0" xfId="0" applyFill="1"/>
    <xf numFmtId="0" fontId="0" fillId="3" borderId="5" xfId="0" applyFill="1" applyBorder="1"/>
    <xf numFmtId="3" fontId="0" fillId="3" borderId="5" xfId="0" applyNumberFormat="1" applyFill="1" applyBorder="1"/>
    <xf numFmtId="0" fontId="0" fillId="0" borderId="5" xfId="0" applyBorder="1"/>
    <xf numFmtId="164" fontId="0" fillId="3" borderId="0" xfId="1" applyNumberFormat="1" applyFont="1" applyFill="1"/>
    <xf numFmtId="10" fontId="0" fillId="0" borderId="0" xfId="0" applyNumberFormat="1"/>
    <xf numFmtId="164" fontId="0" fillId="0" borderId="0" xfId="1" applyNumberFormat="1" applyFont="1"/>
    <xf numFmtId="2" fontId="0" fillId="0" borderId="0" xfId="0" applyNumberFormat="1"/>
    <xf numFmtId="3" fontId="0" fillId="0" borderId="0" xfId="0" applyNumberFormat="1"/>
    <xf numFmtId="3" fontId="0" fillId="0" borderId="5" xfId="0" applyNumberFormat="1" applyBorder="1"/>
    <xf numFmtId="0" fontId="2" fillId="0" borderId="5" xfId="0" applyFont="1" applyBorder="1" applyAlignment="1">
      <alignment horizontal="center" wrapText="1"/>
    </xf>
    <xf numFmtId="3" fontId="2" fillId="0" borderId="5" xfId="0" applyNumberFormat="1" applyFont="1" applyBorder="1" applyAlignment="1">
      <alignment horizontal="center" wrapText="1"/>
    </xf>
    <xf numFmtId="3" fontId="2" fillId="3" borderId="8" xfId="0" applyNumberFormat="1" applyFont="1" applyFill="1" applyBorder="1"/>
    <xf numFmtId="0" fontId="0" fillId="0" borderId="0" xfId="0" pivotButton="1"/>
    <xf numFmtId="14" fontId="0" fillId="0" borderId="0" xfId="0" applyNumberFormat="1"/>
    <xf numFmtId="0" fontId="0" fillId="0" borderId="0" xfId="0" applyAlignment="1">
      <alignment horizontal="left" indent="2"/>
    </xf>
    <xf numFmtId="166" fontId="0" fillId="0" borderId="0" xfId="0" applyNumberFormat="1"/>
    <xf numFmtId="0" fontId="0" fillId="0" borderId="9" xfId="0" applyBorder="1"/>
    <xf numFmtId="164" fontId="0" fillId="0" borderId="0" xfId="0" applyNumberFormat="1"/>
    <xf numFmtId="0" fontId="0" fillId="0" borderId="10" xfId="0" applyBorder="1"/>
    <xf numFmtId="0" fontId="0" fillId="0" borderId="0" xfId="0" applyAlignment="1">
      <alignment horizontal="left"/>
    </xf>
    <xf numFmtId="0" fontId="2" fillId="0" borderId="0" xfId="0" applyFont="1"/>
    <xf numFmtId="0" fontId="0" fillId="0" borderId="6" xfId="0" applyBorder="1"/>
    <xf numFmtId="0" fontId="8" fillId="0" borderId="0" xfId="0" applyFont="1"/>
    <xf numFmtId="164" fontId="0" fillId="0" borderId="0" xfId="1" applyNumberFormat="1" applyFont="1" applyFill="1" applyBorder="1"/>
    <xf numFmtId="4" fontId="0" fillId="0" borderId="0" xfId="0" applyNumberFormat="1"/>
    <xf numFmtId="3" fontId="2" fillId="3" borderId="5" xfId="0" applyNumberFormat="1" applyFont="1" applyFill="1" applyBorder="1"/>
    <xf numFmtId="0" fontId="0" fillId="3" borderId="7" xfId="0" applyFill="1" applyBorder="1" applyAlignment="1">
      <alignment horizontal="center" vertical="center"/>
    </xf>
    <xf numFmtId="0" fontId="0" fillId="3" borderId="7" xfId="0" applyFill="1" applyBorder="1"/>
    <xf numFmtId="0" fontId="0" fillId="3" borderId="11" xfId="0" applyFill="1" applyBorder="1"/>
    <xf numFmtId="0" fontId="2" fillId="3" borderId="8" xfId="0" applyFont="1" applyFill="1" applyBorder="1" applyAlignment="1">
      <alignment horizontal="center" vertical="center"/>
    </xf>
    <xf numFmtId="0" fontId="2" fillId="3" borderId="8" xfId="0" applyFont="1" applyFill="1" applyBorder="1"/>
    <xf numFmtId="3" fontId="10" fillId="3" borderId="8" xfId="0" applyNumberFormat="1" applyFont="1" applyFill="1" applyBorder="1"/>
    <xf numFmtId="0" fontId="0" fillId="3" borderId="5" xfId="0" applyFill="1" applyBorder="1" applyAlignment="1">
      <alignment horizontal="center" vertical="center"/>
    </xf>
    <xf numFmtId="14" fontId="2" fillId="6" borderId="12" xfId="0" applyNumberFormat="1" applyFont="1" applyFill="1" applyBorder="1"/>
    <xf numFmtId="164" fontId="0" fillId="0" borderId="0" xfId="1" applyNumberFormat="1" applyFont="1" applyFill="1"/>
    <xf numFmtId="3" fontId="0" fillId="0" borderId="10" xfId="0" applyNumberFormat="1" applyBorder="1"/>
    <xf numFmtId="3" fontId="0" fillId="3" borderId="7" xfId="0" applyNumberFormat="1" applyFill="1" applyBorder="1"/>
    <xf numFmtId="3" fontId="0" fillId="3" borderId="11" xfId="0" applyNumberFormat="1" applyFill="1" applyBorder="1"/>
    <xf numFmtId="0" fontId="0" fillId="7" borderId="0" xfId="0" applyFill="1"/>
    <xf numFmtId="164" fontId="0" fillId="7" borderId="0" xfId="1" applyNumberFormat="1" applyFont="1" applyFill="1"/>
    <xf numFmtId="0" fontId="0" fillId="5" borderId="0" xfId="0" applyFill="1"/>
    <xf numFmtId="164" fontId="0" fillId="5" borderId="0" xfId="1" applyNumberFormat="1" applyFont="1" applyFill="1"/>
    <xf numFmtId="3" fontId="2" fillId="0" borderId="13" xfId="0" applyNumberFormat="1" applyFont="1" applyBorder="1" applyAlignment="1">
      <alignment horizontal="center" wrapText="1"/>
    </xf>
    <xf numFmtId="9" fontId="0" fillId="0" borderId="0" xfId="1" applyFont="1"/>
    <xf numFmtId="0" fontId="2" fillId="0" borderId="10" xfId="0" applyFont="1" applyBorder="1"/>
    <xf numFmtId="0" fontId="27" fillId="0" borderId="0" xfId="49"/>
    <xf numFmtId="0" fontId="11" fillId="0" borderId="0" xfId="0" applyFont="1"/>
    <xf numFmtId="167" fontId="28" fillId="0" borderId="23" xfId="50" applyNumberFormat="1" applyFont="1" applyFill="1" applyBorder="1" applyAlignment="1">
      <alignment horizontal="center" vertical="top" wrapText="1" readingOrder="1"/>
    </xf>
    <xf numFmtId="0" fontId="0" fillId="2" borderId="0" xfId="0" applyFill="1"/>
    <xf numFmtId="10" fontId="0" fillId="2" borderId="0" xfId="0" applyNumberFormat="1" applyFill="1"/>
    <xf numFmtId="0" fontId="0" fillId="0" borderId="0" xfId="0" applyAlignment="1">
      <alignment horizontal="right"/>
    </xf>
    <xf numFmtId="0" fontId="0" fillId="0" borderId="9" xfId="0" applyBorder="1" applyAlignment="1">
      <alignment horizontal="right"/>
    </xf>
    <xf numFmtId="0" fontId="0" fillId="3" borderId="24" xfId="0" applyFill="1" applyBorder="1"/>
    <xf numFmtId="0" fontId="0" fillId="3" borderId="10" xfId="0" applyFill="1" applyBorder="1"/>
    <xf numFmtId="0" fontId="0" fillId="2" borderId="9" xfId="0" applyFill="1" applyBorder="1" applyAlignment="1">
      <alignment horizontal="right"/>
    </xf>
    <xf numFmtId="3" fontId="0" fillId="2" borderId="0" xfId="0" applyNumberFormat="1" applyFill="1"/>
    <xf numFmtId="3" fontId="10" fillId="2" borderId="8" xfId="0" applyNumberFormat="1" applyFont="1" applyFill="1" applyBorder="1"/>
    <xf numFmtId="3" fontId="2" fillId="2" borderId="5" xfId="0" applyNumberFormat="1" applyFont="1" applyFill="1" applyBorder="1"/>
    <xf numFmtId="3" fontId="0" fillId="2" borderId="10" xfId="0" applyNumberFormat="1" applyFill="1" applyBorder="1"/>
    <xf numFmtId="0" fontId="0" fillId="5" borderId="0" xfId="0" applyFill="1" applyAlignment="1">
      <alignment horizontal="right"/>
    </xf>
    <xf numFmtId="164" fontId="0" fillId="0" borderId="0" xfId="1" applyNumberFormat="1" applyFont="1" applyBorder="1"/>
    <xf numFmtId="14" fontId="0" fillId="0" borderId="0" xfId="0" applyNumberFormat="1" applyAlignment="1">
      <alignment horizontal="left"/>
    </xf>
    <xf numFmtId="168" fontId="0" fillId="2" borderId="25" xfId="0" applyNumberFormat="1" applyFill="1" applyBorder="1"/>
    <xf numFmtId="3" fontId="0" fillId="7" borderId="0" xfId="0" applyNumberFormat="1" applyFill="1"/>
    <xf numFmtId="0" fontId="0" fillId="4" borderId="0" xfId="0" applyFill="1"/>
    <xf numFmtId="3" fontId="0" fillId="4" borderId="0" xfId="0" applyNumberFormat="1" applyFill="1"/>
    <xf numFmtId="3" fontId="0" fillId="5" borderId="10" xfId="0" applyNumberFormat="1" applyFill="1" applyBorder="1"/>
    <xf numFmtId="0" fontId="9" fillId="40" borderId="0" xfId="0" applyFont="1" applyFill="1" applyAlignment="1">
      <alignment horizontal="left" indent="2"/>
    </xf>
    <xf numFmtId="3" fontId="9" fillId="40" borderId="0" xfId="0" applyNumberFormat="1" applyFont="1" applyFill="1"/>
    <xf numFmtId="164" fontId="9" fillId="40" borderId="0" xfId="1" applyNumberFormat="1" applyFont="1" applyFill="1" applyBorder="1"/>
    <xf numFmtId="0" fontId="11" fillId="2" borderId="0" xfId="0" applyFont="1" applyFill="1"/>
    <xf numFmtId="168" fontId="0" fillId="5" borderId="25" xfId="0" applyNumberFormat="1" applyFill="1" applyBorder="1"/>
    <xf numFmtId="0" fontId="0" fillId="41" borderId="0" xfId="0" applyFill="1"/>
    <xf numFmtId="3" fontId="10" fillId="0" borderId="8" xfId="0" applyNumberFormat="1" applyFont="1" applyBorder="1"/>
    <xf numFmtId="3" fontId="2" fillId="0" borderId="5" xfId="0" applyNumberFormat="1" applyFont="1" applyBorder="1"/>
    <xf numFmtId="3" fontId="0" fillId="42" borderId="5" xfId="0" applyNumberFormat="1" applyFill="1" applyBorder="1"/>
    <xf numFmtId="166" fontId="0" fillId="41" borderId="0" xfId="0" applyNumberFormat="1" applyFill="1"/>
    <xf numFmtId="168" fontId="0" fillId="0" borderId="0" xfId="0" applyNumberFormat="1"/>
    <xf numFmtId="2" fontId="0" fillId="5" borderId="25" xfId="0" applyNumberFormat="1" applyFill="1" applyBorder="1"/>
    <xf numFmtId="3" fontId="0" fillId="2" borderId="5" xfId="0" applyNumberFormat="1" applyFill="1" applyBorder="1"/>
    <xf numFmtId="3" fontId="0" fillId="39" borderId="5" xfId="0" applyNumberFormat="1" applyFill="1" applyBorder="1"/>
    <xf numFmtId="166" fontId="0" fillId="43" borderId="0" xfId="0" applyNumberFormat="1" applyFill="1"/>
    <xf numFmtId="10" fontId="0" fillId="0" borderId="0" xfId="1" applyNumberFormat="1" applyFont="1" applyFill="1"/>
    <xf numFmtId="0" fontId="0" fillId="7" borderId="25" xfId="0" applyFill="1" applyBorder="1"/>
    <xf numFmtId="0" fontId="0" fillId="44" borderId="25" xfId="0" applyFill="1" applyBorder="1"/>
    <xf numFmtId="0" fontId="33" fillId="0" borderId="0" xfId="0" applyFont="1"/>
    <xf numFmtId="166" fontId="0" fillId="45" borderId="0" xfId="0" applyNumberFormat="1" applyFill="1"/>
    <xf numFmtId="0" fontId="0" fillId="45" borderId="0" xfId="0" applyFill="1"/>
    <xf numFmtId="166" fontId="0" fillId="46" borderId="0" xfId="0" applyNumberFormat="1" applyFill="1"/>
    <xf numFmtId="0" fontId="0" fillId="46" borderId="0" xfId="0" applyFill="1"/>
    <xf numFmtId="166" fontId="0" fillId="47" borderId="0" xfId="0" applyNumberFormat="1" applyFill="1"/>
    <xf numFmtId="0" fontId="0" fillId="47" borderId="0" xfId="0" applyFill="1"/>
    <xf numFmtId="164" fontId="0" fillId="48" borderId="0" xfId="0" applyNumberFormat="1" applyFill="1"/>
    <xf numFmtId="0" fontId="0" fillId="48" borderId="0" xfId="0" applyFill="1"/>
    <xf numFmtId="166" fontId="0" fillId="49" borderId="0" xfId="0" applyNumberFormat="1" applyFill="1"/>
    <xf numFmtId="0" fontId="0" fillId="49" borderId="0" xfId="0" applyFill="1"/>
    <xf numFmtId="0" fontId="2" fillId="6" borderId="0" xfId="0" applyFont="1" applyFill="1"/>
    <xf numFmtId="0" fontId="2" fillId="0" borderId="12" xfId="0" applyFont="1" applyBorder="1"/>
    <xf numFmtId="0" fontId="2" fillId="6" borderId="12" xfId="0" applyFont="1" applyFill="1" applyBorder="1"/>
    <xf numFmtId="164" fontId="0" fillId="50" borderId="0" xfId="0" applyNumberFormat="1" applyFill="1"/>
    <xf numFmtId="0" fontId="0" fillId="50" borderId="0" xfId="0" applyFill="1"/>
    <xf numFmtId="14" fontId="2" fillId="6" borderId="0" xfId="0" applyNumberFormat="1" applyFont="1" applyFill="1"/>
    <xf numFmtId="3" fontId="0" fillId="47" borderId="0" xfId="0" applyNumberFormat="1" applyFill="1"/>
    <xf numFmtId="3" fontId="0" fillId="5" borderId="0" xfId="0" applyNumberFormat="1" applyFill="1"/>
    <xf numFmtId="3" fontId="0" fillId="3" borderId="0" xfId="0" applyNumberFormat="1" applyFill="1"/>
    <xf numFmtId="14" fontId="0" fillId="0" borderId="5" xfId="0" applyNumberFormat="1" applyBorder="1"/>
    <xf numFmtId="3" fontId="0" fillId="45" borderId="5" xfId="0" applyNumberFormat="1" applyFill="1" applyBorder="1"/>
    <xf numFmtId="3" fontId="0" fillId="0" borderId="26" xfId="0" applyNumberFormat="1" applyBorder="1"/>
    <xf numFmtId="3" fontId="0" fillId="41" borderId="5" xfId="0" applyNumberFormat="1" applyFill="1" applyBorder="1"/>
    <xf numFmtId="0" fontId="0" fillId="0" borderId="9" xfId="0" applyBorder="1" applyAlignment="1">
      <alignment horizontal="center"/>
    </xf>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9" xfId="0" applyBorder="1" applyAlignment="1">
      <alignment horizontal="center" wrapText="1"/>
    </xf>
    <xf numFmtId="3" fontId="0" fillId="0" borderId="6" xfId="0" applyNumberFormat="1" applyBorder="1"/>
    <xf numFmtId="3" fontId="6" fillId="3" borderId="0" xfId="0" applyNumberFormat="1" applyFont="1" applyFill="1"/>
    <xf numFmtId="3" fontId="10" fillId="3" borderId="0" xfId="0" applyNumberFormat="1" applyFont="1" applyFill="1"/>
    <xf numFmtId="0" fontId="0" fillId="3" borderId="9" xfId="0" applyFill="1" applyBorder="1" applyAlignment="1">
      <alignment wrapText="1"/>
    </xf>
    <xf numFmtId="0" fontId="6" fillId="3" borderId="9" xfId="0" applyFont="1" applyFill="1" applyBorder="1" applyAlignment="1">
      <alignment horizontal="right" wrapText="1"/>
    </xf>
    <xf numFmtId="0" fontId="6" fillId="3" borderId="0" xfId="0" applyFont="1" applyFill="1" applyAlignment="1">
      <alignment wrapText="1"/>
    </xf>
    <xf numFmtId="0" fontId="6" fillId="3" borderId="9" xfId="0" applyFont="1" applyFill="1" applyBorder="1" applyAlignment="1">
      <alignment wrapText="1"/>
    </xf>
    <xf numFmtId="165" fontId="0" fillId="3" borderId="0" xfId="0" applyNumberFormat="1" applyFill="1"/>
    <xf numFmtId="164" fontId="9" fillId="3" borderId="0" xfId="0" applyNumberFormat="1" applyFont="1" applyFill="1"/>
    <xf numFmtId="165" fontId="0" fillId="3" borderId="10" xfId="0" applyNumberFormat="1" applyFill="1" applyBorder="1"/>
    <xf numFmtId="164" fontId="0" fillId="3" borderId="10" xfId="1" applyNumberFormat="1" applyFont="1" applyFill="1" applyBorder="1"/>
    <xf numFmtId="164" fontId="9" fillId="3" borderId="0" xfId="1" applyNumberFormat="1" applyFont="1" applyFill="1" applyBorder="1"/>
    <xf numFmtId="0" fontId="0" fillId="3" borderId="0" xfId="0" applyFill="1" applyAlignment="1">
      <alignment horizontal="left" indent="1"/>
    </xf>
    <xf numFmtId="0" fontId="0" fillId="3" borderId="10" xfId="0" applyFill="1" applyBorder="1" applyAlignment="1">
      <alignment horizontal="left"/>
    </xf>
    <xf numFmtId="0" fontId="0" fillId="3" borderId="0" xfId="0" applyFill="1" applyAlignment="1">
      <alignment horizontal="left"/>
    </xf>
    <xf numFmtId="0" fontId="9" fillId="52" borderId="0" xfId="0" applyFont="1" applyFill="1" applyAlignment="1">
      <alignment horizontal="left" indent="1"/>
    </xf>
    <xf numFmtId="164" fontId="9" fillId="52" borderId="0" xfId="0" applyNumberFormat="1" applyFont="1" applyFill="1"/>
    <xf numFmtId="10" fontId="9" fillId="52" borderId="0" xfId="0" applyNumberFormat="1" applyFont="1" applyFill="1"/>
    <xf numFmtId="0" fontId="37" fillId="0" borderId="0" xfId="0" applyFont="1"/>
    <xf numFmtId="0" fontId="2" fillId="3" borderId="0" xfId="0" applyFont="1" applyFill="1"/>
    <xf numFmtId="0" fontId="2" fillId="3" borderId="0" xfId="0" applyFont="1" applyFill="1" applyAlignment="1">
      <alignment vertical="center"/>
    </xf>
    <xf numFmtId="0" fontId="2" fillId="53" borderId="0" xfId="0" applyFont="1" applyFill="1" applyAlignment="1">
      <alignment horizontal="left"/>
    </xf>
    <xf numFmtId="3" fontId="2" fillId="53" borderId="0" xfId="0" applyNumberFormat="1" applyFont="1" applyFill="1"/>
    <xf numFmtId="0" fontId="11" fillId="3" borderId="26" xfId="0" applyFont="1" applyFill="1" applyBorder="1" applyAlignment="1">
      <alignment horizontal="center"/>
    </xf>
    <xf numFmtId="0" fontId="0" fillId="3" borderId="26" xfId="0" applyFill="1" applyBorder="1"/>
    <xf numFmtId="3" fontId="6" fillId="3" borderId="26" xfId="0" applyNumberFormat="1" applyFont="1" applyFill="1" applyBorder="1"/>
    <xf numFmtId="3" fontId="0" fillId="3" borderId="26" xfId="0" applyNumberFormat="1" applyFill="1" applyBorder="1"/>
    <xf numFmtId="0" fontId="2" fillId="3" borderId="26" xfId="0" applyFont="1" applyFill="1" applyBorder="1" applyAlignment="1">
      <alignment horizontal="left"/>
    </xf>
    <xf numFmtId="3" fontId="2" fillId="3" borderId="26" xfId="0" applyNumberFormat="1" applyFont="1" applyFill="1" applyBorder="1"/>
    <xf numFmtId="0" fontId="22" fillId="51" borderId="10" xfId="0" applyFont="1" applyFill="1" applyBorder="1" applyAlignment="1">
      <alignment horizontal="left"/>
    </xf>
    <xf numFmtId="3" fontId="22" fillId="51" borderId="10" xfId="0" applyNumberFormat="1" applyFont="1" applyFill="1" applyBorder="1"/>
    <xf numFmtId="0" fontId="0" fillId="3" borderId="0" xfId="0" applyFill="1" applyAlignment="1">
      <alignment horizontal="left" vertical="center"/>
    </xf>
    <xf numFmtId="0" fontId="0" fillId="3" borderId="26" xfId="0" applyFill="1" applyBorder="1" applyAlignment="1">
      <alignment horizontal="left" vertical="center"/>
    </xf>
    <xf numFmtId="0" fontId="2" fillId="3" borderId="0" xfId="0" applyFont="1" applyFill="1" applyAlignment="1">
      <alignment horizontal="left" vertical="center"/>
    </xf>
    <xf numFmtId="0" fontId="8" fillId="3" borderId="0" xfId="0" applyFont="1" applyFill="1"/>
    <xf numFmtId="2" fontId="0" fillId="3" borderId="0" xfId="0" applyNumberFormat="1" applyFill="1"/>
    <xf numFmtId="2" fontId="0" fillId="53" borderId="0" xfId="0" applyNumberFormat="1" applyFill="1"/>
    <xf numFmtId="0" fontId="0" fillId="3" borderId="0" xfId="0" applyFill="1" applyAlignment="1">
      <alignment horizontal="left" indent="2"/>
    </xf>
    <xf numFmtId="0" fontId="0" fillId="3" borderId="26" xfId="0" applyFill="1" applyBorder="1" applyAlignment="1">
      <alignment horizontal="left" indent="2"/>
    </xf>
    <xf numFmtId="2" fontId="0" fillId="3" borderId="26" xfId="0" applyNumberFormat="1" applyFill="1" applyBorder="1"/>
    <xf numFmtId="2" fontId="0" fillId="53" borderId="26" xfId="0" applyNumberFormat="1" applyFill="1" applyBorder="1"/>
    <xf numFmtId="0" fontId="0" fillId="3" borderId="26" xfId="0" applyFill="1" applyBorder="1" applyAlignment="1">
      <alignment horizontal="left"/>
    </xf>
    <xf numFmtId="0" fontId="0" fillId="3" borderId="26" xfId="0" applyFill="1" applyBorder="1" applyAlignment="1">
      <alignment horizontal="right" wrapText="1"/>
    </xf>
    <xf numFmtId="0" fontId="0" fillId="3" borderId="26" xfId="0" applyFill="1" applyBorder="1" applyAlignment="1">
      <alignment horizontal="right"/>
    </xf>
    <xf numFmtId="2" fontId="0" fillId="3" borderId="0" xfId="0" applyNumberFormat="1" applyFill="1" applyAlignment="1">
      <alignment horizontal="right"/>
    </xf>
    <xf numFmtId="0" fontId="0" fillId="3" borderId="0" xfId="0" applyFill="1" applyAlignment="1">
      <alignment horizontal="right"/>
    </xf>
    <xf numFmtId="1" fontId="9" fillId="3" borderId="0" xfId="0" applyNumberFormat="1" applyFont="1" applyFill="1" applyAlignment="1">
      <alignment horizontal="right"/>
    </xf>
    <xf numFmtId="2" fontId="9" fillId="3" borderId="0" xfId="0" applyNumberFormat="1" applyFont="1" applyFill="1" applyAlignment="1">
      <alignment horizontal="right"/>
    </xf>
    <xf numFmtId="2" fontId="9" fillId="3" borderId="26" xfId="0" applyNumberFormat="1" applyFont="1" applyFill="1" applyBorder="1" applyAlignment="1">
      <alignment horizontal="right"/>
    </xf>
    <xf numFmtId="0" fontId="0" fillId="3" borderId="26" xfId="0" applyFill="1" applyBorder="1" applyAlignment="1">
      <alignment horizontal="right" vertical="center"/>
    </xf>
    <xf numFmtId="0" fontId="2" fillId="3" borderId="0" xfId="0" applyFont="1" applyFill="1" applyAlignment="1">
      <alignment vertical="top"/>
    </xf>
    <xf numFmtId="0" fontId="0" fillId="3" borderId="6" xfId="0" applyFill="1" applyBorder="1"/>
    <xf numFmtId="0" fontId="2" fillId="3" borderId="26" xfId="0" applyFont="1" applyFill="1" applyBorder="1"/>
    <xf numFmtId="164" fontId="0" fillId="3" borderId="0" xfId="1" applyNumberFormat="1" applyFont="1" applyFill="1" applyBorder="1"/>
    <xf numFmtId="164" fontId="0" fillId="3" borderId="26" xfId="1" applyNumberFormat="1" applyFont="1" applyFill="1" applyBorder="1"/>
    <xf numFmtId="164" fontId="0" fillId="3" borderId="0" xfId="0" applyNumberFormat="1" applyFill="1"/>
    <xf numFmtId="164" fontId="0" fillId="3" borderId="6" xfId="0" applyNumberFormat="1" applyFill="1" applyBorder="1"/>
    <xf numFmtId="0" fontId="9" fillId="52" borderId="0" xfId="0" applyFont="1" applyFill="1"/>
    <xf numFmtId="164" fontId="0" fillId="3" borderId="26" xfId="0" applyNumberFormat="1" applyFill="1" applyBorder="1"/>
    <xf numFmtId="164" fontId="0" fillId="54" borderId="26" xfId="0" applyNumberFormat="1" applyFill="1" applyBorder="1"/>
    <xf numFmtId="0" fontId="39" fillId="0" borderId="0" xfId="0" applyFont="1"/>
    <xf numFmtId="10" fontId="0" fillId="0" borderId="0" xfId="1" applyNumberFormat="1" applyFont="1"/>
    <xf numFmtId="14" fontId="0" fillId="2" borderId="0" xfId="0" applyNumberFormat="1" applyFill="1"/>
    <xf numFmtId="0" fontId="0" fillId="0" borderId="26" xfId="0" applyBorder="1"/>
    <xf numFmtId="0" fontId="38" fillId="3" borderId="0" xfId="0" applyFont="1" applyFill="1" applyAlignment="1">
      <alignment horizontal="left"/>
    </xf>
    <xf numFmtId="0" fontId="11" fillId="3" borderId="0" xfId="0" applyFont="1" applyFill="1" applyAlignment="1">
      <alignment horizontal="center"/>
    </xf>
    <xf numFmtId="3" fontId="2" fillId="3" borderId="0" xfId="0" applyNumberFormat="1" applyFont="1" applyFill="1"/>
    <xf numFmtId="3" fontId="22" fillId="51" borderId="0" xfId="0" applyNumberFormat="1" applyFont="1" applyFill="1"/>
    <xf numFmtId="2" fontId="0" fillId="50" borderId="0" xfId="0" applyNumberFormat="1" applyFill="1"/>
    <xf numFmtId="0" fontId="0" fillId="49" borderId="26" xfId="0" applyFill="1" applyBorder="1"/>
    <xf numFmtId="2" fontId="0" fillId="49" borderId="0" xfId="0" applyNumberFormat="1" applyFill="1"/>
    <xf numFmtId="0" fontId="0" fillId="4" borderId="9" xfId="0" applyFill="1" applyBorder="1" applyAlignment="1">
      <alignment horizontal="center"/>
    </xf>
    <xf numFmtId="2" fontId="0" fillId="4" borderId="0" xfId="0" applyNumberFormat="1" applyFill="1"/>
    <xf numFmtId="2" fontId="0" fillId="45" borderId="0" xfId="0" applyNumberFormat="1" applyFill="1"/>
    <xf numFmtId="4" fontId="0" fillId="45" borderId="0" xfId="0" applyNumberFormat="1" applyFill="1"/>
    <xf numFmtId="3" fontId="0" fillId="49" borderId="0" xfId="0" applyNumberFormat="1" applyFill="1"/>
    <xf numFmtId="164" fontId="9" fillId="54" borderId="0" xfId="1" applyNumberFormat="1" applyFont="1" applyFill="1" applyBorder="1"/>
    <xf numFmtId="0" fontId="0" fillId="54" borderId="0" xfId="0" applyFill="1"/>
    <xf numFmtId="0" fontId="2" fillId="0" borderId="0" xfId="0" applyFont="1" applyAlignment="1">
      <alignment horizontal="center"/>
    </xf>
    <xf numFmtId="0" fontId="7" fillId="0" borderId="0" xfId="0" applyFont="1" applyAlignment="1">
      <alignment horizontal="center"/>
    </xf>
    <xf numFmtId="164" fontId="0" fillId="0" borderId="26" xfId="1" applyNumberFormat="1" applyFont="1" applyFill="1" applyBorder="1"/>
    <xf numFmtId="0" fontId="2" fillId="3" borderId="34" xfId="0" applyFont="1" applyFill="1" applyBorder="1"/>
    <xf numFmtId="0" fontId="0" fillId="3" borderId="6" xfId="0" applyFill="1" applyBorder="1" applyAlignment="1">
      <alignment horizontal="right" wrapText="1"/>
    </xf>
    <xf numFmtId="0" fontId="0" fillId="3" borderId="6" xfId="0" applyFill="1" applyBorder="1" applyAlignment="1">
      <alignment horizontal="right"/>
    </xf>
    <xf numFmtId="0" fontId="0" fillId="3" borderId="35" xfId="0" applyFill="1" applyBorder="1"/>
    <xf numFmtId="0" fontId="0" fillId="3" borderId="36" xfId="0" applyFill="1" applyBorder="1" applyAlignment="1">
      <alignment horizontal="right" wrapText="1"/>
    </xf>
    <xf numFmtId="0" fontId="0" fillId="3" borderId="13" xfId="0" applyFill="1" applyBorder="1"/>
    <xf numFmtId="0" fontId="0" fillId="3" borderId="37" xfId="0" applyFill="1" applyBorder="1"/>
    <xf numFmtId="0" fontId="0" fillId="3" borderId="38" xfId="0" applyFill="1" applyBorder="1"/>
    <xf numFmtId="164" fontId="0" fillId="3" borderId="39" xfId="1" applyNumberFormat="1" applyFont="1" applyFill="1" applyBorder="1"/>
    <xf numFmtId="0" fontId="0" fillId="0" borderId="38" xfId="0" applyBorder="1"/>
    <xf numFmtId="10" fontId="0" fillId="50" borderId="0" xfId="0" applyNumberFormat="1" applyFill="1"/>
    <xf numFmtId="0" fontId="0" fillId="0" borderId="0" xfId="0" applyAlignment="1">
      <alignment horizontal="left" vertical="top" wrapText="1"/>
    </xf>
    <xf numFmtId="0" fontId="36" fillId="51" borderId="0" xfId="0" applyFont="1" applyFill="1" applyAlignment="1">
      <alignment horizontal="left"/>
    </xf>
    <xf numFmtId="0" fontId="8" fillId="3" borderId="0" xfId="0" applyFont="1" applyFill="1" applyAlignment="1">
      <alignment horizontal="left" vertical="top" wrapText="1"/>
    </xf>
    <xf numFmtId="0" fontId="11" fillId="0" borderId="0" xfId="0" applyFont="1" applyAlignment="1">
      <alignment horizontal="center"/>
    </xf>
    <xf numFmtId="0" fontId="38" fillId="3" borderId="0" xfId="0" applyFont="1" applyFill="1"/>
    <xf numFmtId="0" fontId="0" fillId="0" borderId="0" xfId="0" applyAlignment="1">
      <alignment vertical="top" wrapText="1"/>
    </xf>
    <xf numFmtId="0" fontId="35" fillId="0" borderId="0" xfId="0" applyFont="1" applyAlignment="1">
      <alignment horizontal="center"/>
    </xf>
    <xf numFmtId="0" fontId="0" fillId="0" borderId="0" xfId="0" applyAlignment="1">
      <alignment horizontal="center"/>
    </xf>
    <xf numFmtId="0" fontId="34" fillId="0" borderId="0" xfId="0" applyFont="1" applyAlignment="1">
      <alignment horizontal="center"/>
    </xf>
    <xf numFmtId="0" fontId="33" fillId="5" borderId="0" xfId="0" applyFont="1" applyFill="1" applyAlignment="1">
      <alignment horizontal="left" vertical="top" wrapText="1"/>
    </xf>
    <xf numFmtId="0" fontId="0" fillId="3" borderId="26" xfId="0" applyFill="1" applyBorder="1" applyAlignment="1">
      <alignment horizontal="center"/>
    </xf>
    <xf numFmtId="0" fontId="2" fillId="0" borderId="0" xfId="0" applyFont="1" applyAlignment="1">
      <alignment horizontal="center"/>
    </xf>
    <xf numFmtId="0" fontId="0" fillId="3" borderId="0" xfId="0" applyFill="1" applyAlignment="1">
      <alignment horizontal="center" vertical="top" wrapText="1"/>
    </xf>
    <xf numFmtId="0" fontId="0" fillId="3" borderId="0" xfId="0" applyFill="1" applyAlignment="1">
      <alignment horizontal="right" vertical="top" wrapText="1"/>
    </xf>
    <xf numFmtId="0" fontId="0" fillId="3" borderId="26" xfId="0" applyFill="1" applyBorder="1" applyAlignment="1">
      <alignment horizontal="right" vertical="top" wrapText="1"/>
    </xf>
    <xf numFmtId="0" fontId="0" fillId="49" borderId="0" xfId="0" applyFill="1" applyAlignment="1">
      <alignment horizontal="center"/>
    </xf>
    <xf numFmtId="0" fontId="7" fillId="0" borderId="0" xfId="0" applyFont="1" applyAlignment="1">
      <alignment horizontal="center"/>
    </xf>
  </cellXfs>
  <cellStyles count="52">
    <cellStyle name="20% - Accent1" xfId="25" builtinId="30" customBuiltin="1"/>
    <cellStyle name="20% - Accent2" xfId="29" builtinId="34" customBuiltin="1"/>
    <cellStyle name="20% - Accent3" xfId="33" builtinId="38" customBuiltin="1"/>
    <cellStyle name="20% - Accent4" xfId="37" builtinId="42" customBuiltin="1"/>
    <cellStyle name="20% - Accent5" xfId="41" builtinId="46" customBuiltin="1"/>
    <cellStyle name="20% - Accent6" xfId="45"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2" builtinId="47" customBuiltin="1"/>
    <cellStyle name="40% - Accent6" xfId="46"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3" builtinId="48" customBuiltin="1"/>
    <cellStyle name="60%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Body: normal cell" xfId="6" xr:uid="{00000000-0005-0000-0000-000019000000}"/>
    <cellStyle name="Calculation" xfId="17" builtinId="22" customBuiltin="1"/>
    <cellStyle name="Check Cell" xfId="19" builtinId="23" customBuiltin="1"/>
    <cellStyle name="Comma" xfId="50" builtinId="3"/>
    <cellStyle name="Explanatory Text" xfId="22" builtinId="53" customBuiltin="1"/>
    <cellStyle name="Font: Calibri, 9pt regular" xfId="2" xr:uid="{00000000-0005-0000-0000-00001E000000}"/>
    <cellStyle name="Footnotes: top row" xfId="7" xr:uid="{00000000-0005-0000-0000-00001F000000}"/>
    <cellStyle name="Good" xfId="12" builtinId="26" customBuiltin="1"/>
    <cellStyle name="Header: bottom row" xfId="3" xr:uid="{00000000-0005-0000-0000-000021000000}"/>
    <cellStyle name="Heading 1" xfId="8" builtinId="16" customBuiltin="1"/>
    <cellStyle name="Heading 2" xfId="9" builtinId="17" customBuiltin="1"/>
    <cellStyle name="Heading 3" xfId="10" builtinId="18" customBuiltin="1"/>
    <cellStyle name="Heading 4" xfId="11" builtinId="19" customBuiltin="1"/>
    <cellStyle name="Hyperlink" xfId="49" builtinId="8"/>
    <cellStyle name="Input" xfId="15" builtinId="20" customBuiltin="1"/>
    <cellStyle name="Linked Cell" xfId="18" builtinId="24" customBuiltin="1"/>
    <cellStyle name="Neutral" xfId="14" builtinId="28" customBuiltin="1"/>
    <cellStyle name="Normal" xfId="0" builtinId="0"/>
    <cellStyle name="Note" xfId="21" builtinId="10" customBuiltin="1"/>
    <cellStyle name="Output" xfId="16" builtinId="21" customBuiltin="1"/>
    <cellStyle name="Parent row" xfId="5" xr:uid="{00000000-0005-0000-0000-00002D000000}"/>
    <cellStyle name="Percent" xfId="1" builtinId="5"/>
    <cellStyle name="Table title" xfId="4" xr:uid="{00000000-0005-0000-0000-00002F000000}"/>
    <cellStyle name="Title 2" xfId="48" xr:uid="{00000000-0005-0000-0000-000030000000}"/>
    <cellStyle name="Title 2 2" xfId="51" xr:uid="{00000000-0005-0000-0000-000031000000}"/>
    <cellStyle name="Total" xfId="23" builtinId="25" customBuiltin="1"/>
    <cellStyle name="Warning Text" xfId="20" builtinId="11" customBuiltin="1"/>
  </cellStyles>
  <dxfs count="52">
    <dxf>
      <numFmt numFmtId="14" formatCode="0.00%"/>
    </dxf>
    <dxf>
      <fill>
        <patternFill patternType="solid">
          <bgColor theme="5" tint="0.79998168889431442"/>
        </patternFill>
      </fill>
    </dxf>
    <dxf>
      <fill>
        <patternFill patternType="solid">
          <bgColor rgb="FFFFFFCC"/>
        </patternFill>
      </fill>
    </dxf>
    <dxf>
      <fill>
        <patternFill patternType="solid">
          <bgColor theme="0" tint="-0.14999847407452621"/>
        </patternFill>
      </fill>
    </dxf>
    <dxf>
      <fill>
        <patternFill patternType="solid">
          <bgColor rgb="FF66FFFF"/>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theme="4" tint="0.79998168889431442"/>
        </patternFill>
      </fill>
    </dxf>
    <dxf>
      <fill>
        <patternFill patternType="solid">
          <bgColor theme="4" tint="0.79998168889431442"/>
        </patternFill>
      </fill>
    </dxf>
    <dxf>
      <fill>
        <patternFill>
          <bgColor rgb="FFFFCCFF"/>
        </patternFill>
      </fill>
    </dxf>
    <dxf>
      <fill>
        <patternFill>
          <bgColor rgb="FFFFCCFF"/>
        </patternFill>
      </fill>
    </dxf>
    <dxf>
      <fill>
        <patternFill patternType="solid">
          <fgColor indexed="64"/>
          <bgColor rgb="FFFFCCFF"/>
        </patternFill>
      </fill>
    </dxf>
    <dxf>
      <fill>
        <patternFill patternType="solid">
          <fgColor indexed="64"/>
          <bgColor rgb="FFFFCCFF"/>
        </patternFill>
      </fill>
    </dxf>
    <dxf>
      <fill>
        <patternFill patternType="solid">
          <bgColor theme="0" tint="-0.14999847407452621"/>
        </patternFill>
      </fill>
    </dxf>
    <dxf>
      <fill>
        <patternFill patternType="solid">
          <bgColor rgb="FF66FFFF"/>
        </patternFill>
      </fill>
    </dxf>
    <dxf>
      <fill>
        <patternFill patternType="solid">
          <bgColor theme="5" tint="0.79998168889431442"/>
        </patternFill>
      </fill>
    </dxf>
    <dxf>
      <fill>
        <patternFill patternType="solid">
          <bgColor rgb="FFFFFFCC"/>
        </patternFill>
      </fill>
    </dxf>
    <dxf>
      <fill>
        <patternFill patternType="solid">
          <bgColor theme="5" tint="0.79998168889431442"/>
        </patternFill>
      </fill>
    </dxf>
    <dxf>
      <fill>
        <patternFill patternType="solid">
          <bgColor theme="5" tint="0.79998168889431442"/>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rgb="FFCCFFCC"/>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numFmt numFmtId="164" formatCode="0.0%"/>
    </dxf>
  </dxfs>
  <tableStyles count="0" defaultTableStyle="TableStyleMedium2" defaultPivotStyle="PivotStyleLight16"/>
  <colors>
    <mruColors>
      <color rgb="FFFFCCFF"/>
      <color rgb="FFFFFFCC"/>
      <color rgb="FF66FFFF"/>
      <color rgb="FFCCFFCC"/>
      <color rgb="FFCCFF99"/>
      <color rgb="FFFF99FF"/>
      <color rgb="FFFFCCCC"/>
      <color rgb="FFCCFF66"/>
      <color rgb="FFFF66CC"/>
      <color rgb="FFFEC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Forecast_Main!$H$77:$AU$77</c:f>
              <c:strCache>
                <c:ptCount val="40"/>
                <c:pt idx="0">
                  <c:v>2016 Q1</c:v>
                </c:pt>
                <c:pt idx="1">
                  <c:v>2016 Q2</c:v>
                </c:pt>
                <c:pt idx="2">
                  <c:v>2016 Q3</c:v>
                </c:pt>
                <c:pt idx="3">
                  <c:v>2016 Q4</c:v>
                </c:pt>
                <c:pt idx="4">
                  <c:v>2017 Q1</c:v>
                </c:pt>
                <c:pt idx="5">
                  <c:v>2017 Q2</c:v>
                </c:pt>
                <c:pt idx="6">
                  <c:v>2017 Q3</c:v>
                </c:pt>
                <c:pt idx="7">
                  <c:v>2017 Q4</c:v>
                </c:pt>
                <c:pt idx="8">
                  <c:v>2018 Q1</c:v>
                </c:pt>
                <c:pt idx="9">
                  <c:v>2018 Q2</c:v>
                </c:pt>
                <c:pt idx="10">
                  <c:v>2018 Q3</c:v>
                </c:pt>
                <c:pt idx="11">
                  <c:v>2018 Q4</c:v>
                </c:pt>
                <c:pt idx="12">
                  <c:v>2019 Q1</c:v>
                </c:pt>
                <c:pt idx="13">
                  <c:v>2019 Q2</c:v>
                </c:pt>
                <c:pt idx="14">
                  <c:v>2019 Q3</c:v>
                </c:pt>
                <c:pt idx="15">
                  <c:v>2019 Q4</c:v>
                </c:pt>
                <c:pt idx="16">
                  <c:v>2020 Q1</c:v>
                </c:pt>
                <c:pt idx="17">
                  <c:v>2020 Q2</c:v>
                </c:pt>
                <c:pt idx="18">
                  <c:v>2020 Q3</c:v>
                </c:pt>
                <c:pt idx="19">
                  <c:v>2020 Q4</c:v>
                </c:pt>
                <c:pt idx="20">
                  <c:v>2021 Q1</c:v>
                </c:pt>
                <c:pt idx="21">
                  <c:v>2021 Q2</c:v>
                </c:pt>
                <c:pt idx="22">
                  <c:v>2021 Q3</c:v>
                </c:pt>
                <c:pt idx="23">
                  <c:v>2021 Q4</c:v>
                </c:pt>
                <c:pt idx="24">
                  <c:v>2022 Q1</c:v>
                </c:pt>
                <c:pt idx="25">
                  <c:v>2022 Q2</c:v>
                </c:pt>
                <c:pt idx="26">
                  <c:v>2022 Q3</c:v>
                </c:pt>
                <c:pt idx="27">
                  <c:v>2022 Q4</c:v>
                </c:pt>
                <c:pt idx="28">
                  <c:v>2023 Q1</c:v>
                </c:pt>
                <c:pt idx="29">
                  <c:v>2023 Q2</c:v>
                </c:pt>
                <c:pt idx="30">
                  <c:v>2023 Q3</c:v>
                </c:pt>
                <c:pt idx="31">
                  <c:v>2023 Q4</c:v>
                </c:pt>
                <c:pt idx="32">
                  <c:v>2024 Q1</c:v>
                </c:pt>
                <c:pt idx="33">
                  <c:v>2024 Q2</c:v>
                </c:pt>
                <c:pt idx="34">
                  <c:v>2024 Q3</c:v>
                </c:pt>
                <c:pt idx="35">
                  <c:v>2024 Q4</c:v>
                </c:pt>
                <c:pt idx="36">
                  <c:v>2025 Q1</c:v>
                </c:pt>
                <c:pt idx="37">
                  <c:v>2025 Q2</c:v>
                </c:pt>
                <c:pt idx="38">
                  <c:v>2025 Q3</c:v>
                </c:pt>
                <c:pt idx="39">
                  <c:v>2025 Q4</c:v>
                </c:pt>
              </c:strCache>
            </c:strRef>
          </c:cat>
          <c:val>
            <c:numRef>
              <c:f>Forecast_Main!$H$87:$AU$87</c:f>
              <c:numCache>
                <c:formatCode>0.0%</c:formatCode>
                <c:ptCount val="40"/>
                <c:pt idx="0">
                  <c:v>5.5869384181331347E-2</c:v>
                </c:pt>
                <c:pt idx="1">
                  <c:v>6.5833092061322054E-2</c:v>
                </c:pt>
                <c:pt idx="2">
                  <c:v>6.5930567152852546E-2</c:v>
                </c:pt>
                <c:pt idx="3">
                  <c:v>6.4896925449701173E-2</c:v>
                </c:pt>
                <c:pt idx="4">
                  <c:v>6.0812781805495791E-2</c:v>
                </c:pt>
                <c:pt idx="5">
                  <c:v>6.7506535503566889E-2</c:v>
                </c:pt>
                <c:pt idx="6">
                  <c:v>6.969851875392663E-2</c:v>
                </c:pt>
                <c:pt idx="7">
                  <c:v>7.9642577236442066E-2</c:v>
                </c:pt>
                <c:pt idx="8">
                  <c:v>6.2385752232972005E-2</c:v>
                </c:pt>
                <c:pt idx="9">
                  <c:v>6.7023254654075215E-2</c:v>
                </c:pt>
                <c:pt idx="10">
                  <c:v>6.7111751966367289E-2</c:v>
                </c:pt>
                <c:pt idx="11">
                  <c:v>7.1738307743542812E-2</c:v>
                </c:pt>
                <c:pt idx="12">
                  <c:v>6.0750667673647646E-2</c:v>
                </c:pt>
                <c:pt idx="13">
                  <c:v>8.8439150430515756E-2</c:v>
                </c:pt>
                <c:pt idx="14">
                  <c:v>7.6943815626543066E-2</c:v>
                </c:pt>
                <c:pt idx="15">
                  <c:v>7.5432523813665373E-2</c:v>
                </c:pt>
                <c:pt idx="16">
                  <c:v>9.3779538400073109E-2</c:v>
                </c:pt>
                <c:pt idx="17">
                  <c:v>8.0634174422255386E-2</c:v>
                </c:pt>
                <c:pt idx="18">
                  <c:v>9.6796640191794861E-2</c:v>
                </c:pt>
                <c:pt idx="19">
                  <c:v>9.5216298200619845E-2</c:v>
                </c:pt>
                <c:pt idx="20">
                  <c:v>7.4214396665036764E-2</c:v>
                </c:pt>
                <c:pt idx="21">
                  <c:v>9.9371420744167396E-2</c:v>
                </c:pt>
                <c:pt idx="22">
                  <c:v>9.3275063275708545E-2</c:v>
                </c:pt>
                <c:pt idx="23">
                  <c:v>0.1033485066799517</c:v>
                </c:pt>
                <c:pt idx="24">
                  <c:v>7.7344763723640395E-2</c:v>
                </c:pt>
                <c:pt idx="25">
                  <c:v>0.1156813632840523</c:v>
                </c:pt>
                <c:pt idx="26">
                  <c:v>7.6213417906648637E-2</c:v>
                </c:pt>
                <c:pt idx="27">
                  <c:v>0.1020578537953315</c:v>
                </c:pt>
                <c:pt idx="28" formatCode="0.00%">
                  <c:v>9.2345447847767909E-2</c:v>
                </c:pt>
                <c:pt idx="29" formatCode="0.00%">
                  <c:v>0.10337090457601011</c:v>
                </c:pt>
                <c:pt idx="30" formatCode="0.00%">
                  <c:v>9.3087860213815501E-2</c:v>
                </c:pt>
                <c:pt idx="31" formatCode="0.00%">
                  <c:v>0.10961419333997735</c:v>
                </c:pt>
                <c:pt idx="32" formatCode="0.00%">
                  <c:v>8.2992443026628018E-2</c:v>
                </c:pt>
                <c:pt idx="33" formatCode="0.00%">
                  <c:v>0.10368620868279572</c:v>
                </c:pt>
                <c:pt idx="34" formatCode="0.00%">
                  <c:v>9.906848080389305E-2</c:v>
                </c:pt>
                <c:pt idx="35" formatCode="0.00%">
                  <c:v>9.2807386929358762E-2</c:v>
                </c:pt>
                <c:pt idx="36" formatCode="0.00%">
                  <c:v>8.3841605408341763E-2</c:v>
                </c:pt>
                <c:pt idx="37">
                  <c:v>0.105</c:v>
                </c:pt>
                <c:pt idx="38">
                  <c:v>0.105</c:v>
                </c:pt>
                <c:pt idx="39">
                  <c:v>0.105</c:v>
                </c:pt>
              </c:numCache>
            </c:numRef>
          </c:val>
          <c:extLst>
            <c:ext xmlns:c16="http://schemas.microsoft.com/office/drawing/2014/chart" uri="{C3380CC4-5D6E-409C-BE32-E72D297353CC}">
              <c16:uniqueId val="{00000000-FFAB-49D6-996F-41EEA7A7259E}"/>
            </c:ext>
          </c:extLst>
        </c:ser>
        <c:dLbls>
          <c:showLegendKey val="0"/>
          <c:showVal val="0"/>
          <c:showCatName val="0"/>
          <c:showSerName val="0"/>
          <c:showPercent val="0"/>
          <c:showBubbleSize val="0"/>
        </c:dLbls>
        <c:gapWidth val="219"/>
        <c:overlap val="-27"/>
        <c:axId val="1862246543"/>
        <c:axId val="1862248207"/>
      </c:barChart>
      <c:catAx>
        <c:axId val="186224654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366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248207"/>
        <c:crosses val="autoZero"/>
        <c:auto val="1"/>
        <c:lblAlgn val="ctr"/>
        <c:lblOffset val="100"/>
        <c:noMultiLvlLbl val="0"/>
      </c:catAx>
      <c:valAx>
        <c:axId val="186224820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2465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Biodiesel Carbon</a:t>
            </a:r>
            <a:r>
              <a:rPr lang="en-US" sz="1600" b="1" baseline="0"/>
              <a:t> Intensity</a:t>
            </a:r>
            <a:endParaRPr lang="en-US" sz="1600" b="1"/>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lumMod val="75000"/>
              </a:schemeClr>
            </a:solidFill>
            <a:ln>
              <a:noFill/>
            </a:ln>
            <a:effectLst/>
          </c:spPr>
          <c:invertIfNegative val="0"/>
          <c:dPt>
            <c:idx val="7"/>
            <c:invertIfNegative val="0"/>
            <c:bubble3D val="0"/>
            <c:spPr>
              <a:solidFill>
                <a:schemeClr val="accent1">
                  <a:lumMod val="75000"/>
                </a:schemeClr>
              </a:solidFill>
              <a:ln>
                <a:noFill/>
              </a:ln>
              <a:effectLst/>
            </c:spPr>
            <c:extLst>
              <c:ext xmlns:c16="http://schemas.microsoft.com/office/drawing/2014/chart" uri="{C3380CC4-5D6E-409C-BE32-E72D297353CC}">
                <c16:uniqueId val="{00000004-5653-4FFA-9796-D8FF931AFA53}"/>
              </c:ext>
            </c:extLst>
          </c:dPt>
          <c:dPt>
            <c:idx val="8"/>
            <c:invertIfNegative val="0"/>
            <c:bubble3D val="0"/>
            <c:spPr>
              <a:solidFill>
                <a:schemeClr val="accent1">
                  <a:lumMod val="75000"/>
                </a:schemeClr>
              </a:solidFill>
              <a:ln>
                <a:noFill/>
              </a:ln>
              <a:effectLst/>
            </c:spPr>
            <c:extLst>
              <c:ext xmlns:c16="http://schemas.microsoft.com/office/drawing/2014/chart" uri="{C3380CC4-5D6E-409C-BE32-E72D297353CC}">
                <c16:uniqueId val="{00000005-5653-4FFA-9796-D8FF931AFA53}"/>
              </c:ext>
            </c:extLst>
          </c:dPt>
          <c:dPt>
            <c:idx val="9"/>
            <c:invertIfNegative val="0"/>
            <c:bubble3D val="0"/>
            <c:spPr>
              <a:solidFill>
                <a:schemeClr val="accent6">
                  <a:lumMod val="75000"/>
                </a:schemeClr>
              </a:solidFill>
              <a:ln>
                <a:noFill/>
              </a:ln>
              <a:effectLst/>
            </c:spPr>
            <c:extLst>
              <c:ext xmlns:c16="http://schemas.microsoft.com/office/drawing/2014/chart" uri="{C3380CC4-5D6E-409C-BE32-E72D297353CC}">
                <c16:uniqueId val="{00000004-2165-427C-BA2D-3EA8CA9ABFE4}"/>
              </c:ext>
            </c:extLst>
          </c:dPt>
          <c:dPt>
            <c:idx val="10"/>
            <c:invertIfNegative val="0"/>
            <c:bubble3D val="0"/>
            <c:spPr>
              <a:solidFill>
                <a:schemeClr val="accent6">
                  <a:lumMod val="75000"/>
                </a:schemeClr>
              </a:solidFill>
              <a:ln>
                <a:noFill/>
              </a:ln>
              <a:effectLst/>
            </c:spPr>
            <c:extLst>
              <c:ext xmlns:c16="http://schemas.microsoft.com/office/drawing/2014/chart" uri="{C3380CC4-5D6E-409C-BE32-E72D297353CC}">
                <c16:uniqueId val="{00000006-4438-416E-951D-882A379375A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'CI Trend'!$D$17:$N$17</c:f>
              <c:strCache>
                <c:ptCount val="11"/>
                <c:pt idx="0">
                  <c:v>2016</c:v>
                </c:pt>
                <c:pt idx="1">
                  <c:v>2017</c:v>
                </c:pt>
                <c:pt idx="2">
                  <c:v>2018</c:v>
                </c:pt>
                <c:pt idx="3">
                  <c:v>2019</c:v>
                </c:pt>
                <c:pt idx="4">
                  <c:v>2020</c:v>
                </c:pt>
                <c:pt idx="5">
                  <c:v>2021</c:v>
                </c:pt>
                <c:pt idx="6">
                  <c:v>2022</c:v>
                </c:pt>
                <c:pt idx="7">
                  <c:v>2023</c:v>
                </c:pt>
                <c:pt idx="8">
                  <c:v>2024</c:v>
                </c:pt>
                <c:pt idx="9">
                  <c:v>2025F</c:v>
                </c:pt>
                <c:pt idx="10">
                  <c:v>2026F</c:v>
                </c:pt>
              </c:strCache>
            </c:strRef>
          </c:cat>
          <c:val>
            <c:numRef>
              <c:f>'CI Trend'!$D$19:$N$19</c:f>
              <c:numCache>
                <c:formatCode>0.00</c:formatCode>
                <c:ptCount val="11"/>
                <c:pt idx="0">
                  <c:v>51.899744869742058</c:v>
                </c:pt>
                <c:pt idx="1">
                  <c:v>47.178761173694923</c:v>
                </c:pt>
                <c:pt idx="2">
                  <c:v>45.23616850730842</c:v>
                </c:pt>
                <c:pt idx="3">
                  <c:v>38.652276935136072</c:v>
                </c:pt>
                <c:pt idx="4">
                  <c:v>42.134070120242114</c:v>
                </c:pt>
                <c:pt idx="5">
                  <c:v>41.818345202556273</c:v>
                </c:pt>
                <c:pt idx="6">
                  <c:v>41.485920114815869</c:v>
                </c:pt>
                <c:pt idx="7">
                  <c:v>45.102602015261319</c:v>
                </c:pt>
                <c:pt idx="8">
                  <c:v>44.796984921395357</c:v>
                </c:pt>
                <c:pt idx="9">
                  <c:v>43.5</c:v>
                </c:pt>
                <c:pt idx="10">
                  <c:v>42.5</c:v>
                </c:pt>
              </c:numCache>
            </c:numRef>
          </c:val>
          <c:extLst>
            <c:ext xmlns:c16="http://schemas.microsoft.com/office/drawing/2014/chart" uri="{C3380CC4-5D6E-409C-BE32-E72D297353CC}">
              <c16:uniqueId val="{00000000-5653-4FFA-9796-D8FF931AFA53}"/>
            </c:ext>
          </c:extLst>
        </c:ser>
        <c:dLbls>
          <c:showLegendKey val="0"/>
          <c:showVal val="0"/>
          <c:showCatName val="0"/>
          <c:showSerName val="0"/>
          <c:showPercent val="0"/>
          <c:showBubbleSize val="0"/>
        </c:dLbls>
        <c:gapWidth val="51"/>
        <c:overlap val="-27"/>
        <c:axId val="111880976"/>
        <c:axId val="111878576"/>
      </c:barChart>
      <c:catAx>
        <c:axId val="11188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1878576"/>
        <c:crosses val="autoZero"/>
        <c:auto val="1"/>
        <c:lblAlgn val="ctr"/>
        <c:lblOffset val="100"/>
        <c:noMultiLvlLbl val="0"/>
      </c:catAx>
      <c:valAx>
        <c:axId val="111878576"/>
        <c:scaling>
          <c:orientation val="minMax"/>
          <c:min val="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Weighted Average</a:t>
                </a:r>
              </a:p>
            </c:rich>
          </c:tx>
          <c:layout>
            <c:manualLayout>
              <c:xMode val="edge"/>
              <c:yMode val="edge"/>
              <c:x val="1.9444444444444445E-2"/>
              <c:y val="0.3532502008677486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18809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Renewable Diesel Carbon</a:t>
            </a:r>
            <a:r>
              <a:rPr lang="en-US" sz="1600" b="1" baseline="0"/>
              <a:t> Intensity</a:t>
            </a:r>
            <a:endParaRPr lang="en-US" sz="1600" b="1"/>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lumMod val="75000"/>
              </a:schemeClr>
            </a:solidFill>
            <a:ln>
              <a:noFill/>
            </a:ln>
            <a:effectLst/>
          </c:spPr>
          <c:invertIfNegative val="0"/>
          <c:dPt>
            <c:idx val="7"/>
            <c:invertIfNegative val="0"/>
            <c:bubble3D val="0"/>
            <c:spPr>
              <a:solidFill>
                <a:schemeClr val="accent1">
                  <a:lumMod val="75000"/>
                </a:schemeClr>
              </a:solidFill>
              <a:ln>
                <a:noFill/>
              </a:ln>
              <a:effectLst/>
            </c:spPr>
            <c:extLst>
              <c:ext xmlns:c16="http://schemas.microsoft.com/office/drawing/2014/chart" uri="{C3380CC4-5D6E-409C-BE32-E72D297353CC}">
                <c16:uniqueId val="{00000001-3E8B-44DF-B198-DC7D3AF5A9AD}"/>
              </c:ext>
            </c:extLst>
          </c:dPt>
          <c:dPt>
            <c:idx val="8"/>
            <c:invertIfNegative val="0"/>
            <c:bubble3D val="0"/>
            <c:spPr>
              <a:solidFill>
                <a:schemeClr val="accent1">
                  <a:lumMod val="75000"/>
                </a:schemeClr>
              </a:solidFill>
              <a:ln>
                <a:noFill/>
              </a:ln>
              <a:effectLst/>
            </c:spPr>
            <c:extLst>
              <c:ext xmlns:c16="http://schemas.microsoft.com/office/drawing/2014/chart" uri="{C3380CC4-5D6E-409C-BE32-E72D297353CC}">
                <c16:uniqueId val="{00000002-3E8B-44DF-B198-DC7D3AF5A9AD}"/>
              </c:ext>
            </c:extLst>
          </c:dPt>
          <c:dPt>
            <c:idx val="9"/>
            <c:invertIfNegative val="0"/>
            <c:bubble3D val="0"/>
            <c:spPr>
              <a:solidFill>
                <a:schemeClr val="accent6">
                  <a:lumMod val="75000"/>
                </a:schemeClr>
              </a:solidFill>
              <a:ln>
                <a:noFill/>
              </a:ln>
              <a:effectLst/>
            </c:spPr>
            <c:extLst>
              <c:ext xmlns:c16="http://schemas.microsoft.com/office/drawing/2014/chart" uri="{C3380CC4-5D6E-409C-BE32-E72D297353CC}">
                <c16:uniqueId val="{00000004-6299-4AAE-B955-542B8F4FE694}"/>
              </c:ext>
            </c:extLst>
          </c:dPt>
          <c:dPt>
            <c:idx val="10"/>
            <c:invertIfNegative val="0"/>
            <c:bubble3D val="0"/>
            <c:spPr>
              <a:solidFill>
                <a:schemeClr val="accent6">
                  <a:lumMod val="75000"/>
                </a:schemeClr>
              </a:solidFill>
              <a:ln>
                <a:noFill/>
              </a:ln>
              <a:effectLst/>
            </c:spPr>
            <c:extLst>
              <c:ext xmlns:c16="http://schemas.microsoft.com/office/drawing/2014/chart" uri="{C3380CC4-5D6E-409C-BE32-E72D297353CC}">
                <c16:uniqueId val="{00000006-23C8-4055-808E-367FFE64C85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'CI Trend'!$D$17:$N$17</c:f>
              <c:strCache>
                <c:ptCount val="11"/>
                <c:pt idx="0">
                  <c:v>2016</c:v>
                </c:pt>
                <c:pt idx="1">
                  <c:v>2017</c:v>
                </c:pt>
                <c:pt idx="2">
                  <c:v>2018</c:v>
                </c:pt>
                <c:pt idx="3">
                  <c:v>2019</c:v>
                </c:pt>
                <c:pt idx="4">
                  <c:v>2020</c:v>
                </c:pt>
                <c:pt idx="5">
                  <c:v>2021</c:v>
                </c:pt>
                <c:pt idx="6">
                  <c:v>2022</c:v>
                </c:pt>
                <c:pt idx="7">
                  <c:v>2023</c:v>
                </c:pt>
                <c:pt idx="8">
                  <c:v>2024</c:v>
                </c:pt>
                <c:pt idx="9">
                  <c:v>2025F</c:v>
                </c:pt>
                <c:pt idx="10">
                  <c:v>2026F</c:v>
                </c:pt>
              </c:strCache>
            </c:strRef>
          </c:cat>
          <c:val>
            <c:numRef>
              <c:f>'CI Trend'!$D$20:$N$20</c:f>
              <c:numCache>
                <c:formatCode>0.00</c:formatCode>
                <c:ptCount val="11"/>
                <c:pt idx="1">
                  <c:v>33.64</c:v>
                </c:pt>
                <c:pt idx="2">
                  <c:v>39.096643567308845</c:v>
                </c:pt>
                <c:pt idx="3">
                  <c:v>30.108656695078217</c:v>
                </c:pt>
                <c:pt idx="4">
                  <c:v>31.482287494200339</c:v>
                </c:pt>
                <c:pt idx="5">
                  <c:v>36.96308052279371</c:v>
                </c:pt>
                <c:pt idx="6">
                  <c:v>39.152291668538297</c:v>
                </c:pt>
                <c:pt idx="7">
                  <c:v>34.30998438270273</c:v>
                </c:pt>
                <c:pt idx="8">
                  <c:v>35.635227522563746</c:v>
                </c:pt>
                <c:pt idx="9">
                  <c:v>36</c:v>
                </c:pt>
                <c:pt idx="10">
                  <c:v>37</c:v>
                </c:pt>
              </c:numCache>
            </c:numRef>
          </c:val>
          <c:extLst>
            <c:ext xmlns:c16="http://schemas.microsoft.com/office/drawing/2014/chart" uri="{C3380CC4-5D6E-409C-BE32-E72D297353CC}">
              <c16:uniqueId val="{00000000-3E8B-44DF-B198-DC7D3AF5A9AD}"/>
            </c:ext>
          </c:extLst>
        </c:ser>
        <c:dLbls>
          <c:showLegendKey val="0"/>
          <c:showVal val="0"/>
          <c:showCatName val="0"/>
          <c:showSerName val="0"/>
          <c:showPercent val="0"/>
          <c:showBubbleSize val="0"/>
        </c:dLbls>
        <c:gapWidth val="51"/>
        <c:overlap val="-27"/>
        <c:axId val="111880976"/>
        <c:axId val="111878576"/>
      </c:barChart>
      <c:catAx>
        <c:axId val="11188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1878576"/>
        <c:crosses val="autoZero"/>
        <c:auto val="1"/>
        <c:lblAlgn val="ctr"/>
        <c:lblOffset val="100"/>
        <c:noMultiLvlLbl val="0"/>
      </c:catAx>
      <c:valAx>
        <c:axId val="111878576"/>
        <c:scaling>
          <c:orientation val="minMax"/>
          <c:min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Weighted Average</a:t>
                </a:r>
              </a:p>
            </c:rich>
          </c:tx>
          <c:layout>
            <c:manualLayout>
              <c:xMode val="edge"/>
              <c:yMode val="edge"/>
              <c:x val="2.2222222222222223E-2"/>
              <c:y val="0.3491685682146874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18809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Electricity Carbon Intensity</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'CI Trend'!$D$17:$N$17</c:f>
              <c:strCache>
                <c:ptCount val="11"/>
                <c:pt idx="0">
                  <c:v>2016</c:v>
                </c:pt>
                <c:pt idx="1">
                  <c:v>2017</c:v>
                </c:pt>
                <c:pt idx="2">
                  <c:v>2018</c:v>
                </c:pt>
                <c:pt idx="3">
                  <c:v>2019</c:v>
                </c:pt>
                <c:pt idx="4">
                  <c:v>2020</c:v>
                </c:pt>
                <c:pt idx="5">
                  <c:v>2021</c:v>
                </c:pt>
                <c:pt idx="6">
                  <c:v>2022</c:v>
                </c:pt>
                <c:pt idx="7">
                  <c:v>2023</c:v>
                </c:pt>
                <c:pt idx="8">
                  <c:v>2024</c:v>
                </c:pt>
                <c:pt idx="9">
                  <c:v>2025F</c:v>
                </c:pt>
                <c:pt idx="10">
                  <c:v>2026F</c:v>
                </c:pt>
              </c:strCache>
            </c:strRef>
          </c:cat>
          <c:val>
            <c:numRef>
              <c:f>'CI Trend'!$D$21:$N$21</c:f>
              <c:numCache>
                <c:formatCode>0.00</c:formatCode>
                <c:ptCount val="11"/>
                <c:pt idx="1">
                  <c:v>30.31565042523868</c:v>
                </c:pt>
                <c:pt idx="2">
                  <c:v>109.08270481032878</c:v>
                </c:pt>
                <c:pt idx="3">
                  <c:v>108.93995700750872</c:v>
                </c:pt>
                <c:pt idx="4">
                  <c:v>107.5948200516597</c:v>
                </c:pt>
                <c:pt idx="5">
                  <c:v>25.658485733600305</c:v>
                </c:pt>
                <c:pt idx="6">
                  <c:v>-0.74278796256412782</c:v>
                </c:pt>
                <c:pt idx="7">
                  <c:v>-69.292661374151109</c:v>
                </c:pt>
                <c:pt idx="8">
                  <c:v>-18.666264620428358</c:v>
                </c:pt>
                <c:pt idx="9">
                  <c:v>0</c:v>
                </c:pt>
                <c:pt idx="10">
                  <c:v>0</c:v>
                </c:pt>
              </c:numCache>
            </c:numRef>
          </c:val>
          <c:extLst>
            <c:ext xmlns:c16="http://schemas.microsoft.com/office/drawing/2014/chart" uri="{C3380CC4-5D6E-409C-BE32-E72D297353CC}">
              <c16:uniqueId val="{00000008-FF85-43AE-B020-47BEB323F21A}"/>
            </c:ext>
          </c:extLst>
        </c:ser>
        <c:dLbls>
          <c:showLegendKey val="0"/>
          <c:showVal val="0"/>
          <c:showCatName val="0"/>
          <c:showSerName val="0"/>
          <c:showPercent val="0"/>
          <c:showBubbleSize val="0"/>
        </c:dLbls>
        <c:gapWidth val="51"/>
        <c:overlap val="-27"/>
        <c:axId val="111880976"/>
        <c:axId val="111878576"/>
      </c:barChart>
      <c:catAx>
        <c:axId val="1118809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1878576"/>
        <c:crosses val="autoZero"/>
        <c:auto val="1"/>
        <c:lblAlgn val="ctr"/>
        <c:lblOffset val="100"/>
        <c:noMultiLvlLbl val="0"/>
      </c:catAx>
      <c:valAx>
        <c:axId val="1118785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Weighted Average</a:t>
                </a:r>
              </a:p>
            </c:rich>
          </c:tx>
          <c:layout>
            <c:manualLayout>
              <c:xMode val="edge"/>
              <c:yMode val="edge"/>
              <c:x val="2.2222222222222223E-2"/>
              <c:y val="0.3491685682146874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18809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Renewable</a:t>
            </a:r>
            <a:r>
              <a:rPr lang="en-US" sz="1600" b="1" baseline="0"/>
              <a:t> Propane</a:t>
            </a:r>
            <a:r>
              <a:rPr lang="en-US" sz="1600" b="1"/>
              <a:t> Carbon Intensity</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9"/>
            <c:invertIfNegative val="0"/>
            <c:bubble3D val="0"/>
            <c:spPr>
              <a:solidFill>
                <a:schemeClr val="accent6">
                  <a:lumMod val="75000"/>
                </a:schemeClr>
              </a:solidFill>
              <a:ln>
                <a:noFill/>
              </a:ln>
              <a:effectLst/>
            </c:spPr>
            <c:extLst>
              <c:ext xmlns:c16="http://schemas.microsoft.com/office/drawing/2014/chart" uri="{C3380CC4-5D6E-409C-BE32-E72D297353CC}">
                <c16:uniqueId val="{00000001-F91D-42AC-BDA9-E64DFF19570D}"/>
              </c:ext>
            </c:extLst>
          </c:dPt>
          <c:dPt>
            <c:idx val="10"/>
            <c:invertIfNegative val="0"/>
            <c:bubble3D val="0"/>
            <c:spPr>
              <a:solidFill>
                <a:schemeClr val="accent6">
                  <a:lumMod val="75000"/>
                </a:schemeClr>
              </a:solidFill>
              <a:ln>
                <a:noFill/>
              </a:ln>
              <a:effectLst/>
            </c:spPr>
            <c:extLst>
              <c:ext xmlns:c16="http://schemas.microsoft.com/office/drawing/2014/chart" uri="{C3380CC4-5D6E-409C-BE32-E72D297353CC}">
                <c16:uniqueId val="{00000002-F91D-42AC-BDA9-E64DFF19570D}"/>
              </c:ext>
            </c:extLst>
          </c:dPt>
          <c:cat>
            <c:strRef>
              <c:f>'CI Trend'!$D$17:$N$17</c:f>
              <c:strCache>
                <c:ptCount val="11"/>
                <c:pt idx="0">
                  <c:v>2016</c:v>
                </c:pt>
                <c:pt idx="1">
                  <c:v>2017</c:v>
                </c:pt>
                <c:pt idx="2">
                  <c:v>2018</c:v>
                </c:pt>
                <c:pt idx="3">
                  <c:v>2019</c:v>
                </c:pt>
                <c:pt idx="4">
                  <c:v>2020</c:v>
                </c:pt>
                <c:pt idx="5">
                  <c:v>2021</c:v>
                </c:pt>
                <c:pt idx="6">
                  <c:v>2022</c:v>
                </c:pt>
                <c:pt idx="7">
                  <c:v>2023</c:v>
                </c:pt>
                <c:pt idx="8">
                  <c:v>2024</c:v>
                </c:pt>
                <c:pt idx="9">
                  <c:v>2025F</c:v>
                </c:pt>
                <c:pt idx="10">
                  <c:v>2026F</c:v>
                </c:pt>
              </c:strCache>
            </c:strRef>
          </c:cat>
          <c:val>
            <c:numRef>
              <c:f>'CI Trend'!$D$22:$N$22</c:f>
              <c:numCache>
                <c:formatCode>0.00</c:formatCode>
                <c:ptCount val="11"/>
                <c:pt idx="1">
                  <c:v>0</c:v>
                </c:pt>
                <c:pt idx="2">
                  <c:v>16.157877494904838</c:v>
                </c:pt>
                <c:pt idx="3">
                  <c:v>39.260000000000005</c:v>
                </c:pt>
                <c:pt idx="4">
                  <c:v>40.523090559453252</c:v>
                </c:pt>
                <c:pt idx="5">
                  <c:v>30.953904820581371</c:v>
                </c:pt>
                <c:pt idx="6">
                  <c:v>29.910293397169379</c:v>
                </c:pt>
                <c:pt idx="7">
                  <c:v>20.5</c:v>
                </c:pt>
                <c:pt idx="8">
                  <c:v>0</c:v>
                </c:pt>
                <c:pt idx="9">
                  <c:v>45</c:v>
                </c:pt>
                <c:pt idx="10">
                  <c:v>45</c:v>
                </c:pt>
              </c:numCache>
            </c:numRef>
          </c:val>
          <c:extLst>
            <c:ext xmlns:c16="http://schemas.microsoft.com/office/drawing/2014/chart" uri="{C3380CC4-5D6E-409C-BE32-E72D297353CC}">
              <c16:uniqueId val="{00000000-F91D-42AC-BDA9-E64DFF19570D}"/>
            </c:ext>
          </c:extLst>
        </c:ser>
        <c:dLbls>
          <c:showLegendKey val="0"/>
          <c:showVal val="0"/>
          <c:showCatName val="0"/>
          <c:showSerName val="0"/>
          <c:showPercent val="0"/>
          <c:showBubbleSize val="0"/>
        </c:dLbls>
        <c:gapWidth val="51"/>
        <c:overlap val="-27"/>
        <c:axId val="111880976"/>
        <c:axId val="111878576"/>
      </c:barChart>
      <c:catAx>
        <c:axId val="1118809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1878576"/>
        <c:crosses val="autoZero"/>
        <c:auto val="1"/>
        <c:lblAlgn val="ctr"/>
        <c:lblOffset val="100"/>
        <c:noMultiLvlLbl val="0"/>
      </c:catAx>
      <c:valAx>
        <c:axId val="1118785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Weighted Average</a:t>
                </a:r>
              </a:p>
            </c:rich>
          </c:tx>
          <c:layout>
            <c:manualLayout>
              <c:xMode val="edge"/>
              <c:yMode val="edge"/>
              <c:x val="2.2222222222222223E-2"/>
              <c:y val="0.3491685682146874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18809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673218242929215"/>
          <c:y val="0.23908375089477454"/>
          <c:w val="0.8189291271225827"/>
          <c:h val="0.57656287282271534"/>
        </c:manualLayout>
      </c:layout>
      <c:lineChart>
        <c:grouping val="standard"/>
        <c:varyColors val="0"/>
        <c:ser>
          <c:idx val="2"/>
          <c:order val="0"/>
          <c:tx>
            <c:strRef>
              <c:f>'Electric Vehicles'!$R$3</c:f>
              <c:strCache>
                <c:ptCount val="1"/>
                <c:pt idx="0">
                  <c:v>Prior Forecast</c:v>
                </c:pt>
              </c:strCache>
            </c:strRef>
          </c:tx>
          <c:spPr>
            <a:ln w="38100" cap="rnd">
              <a:solidFill>
                <a:schemeClr val="accent6"/>
              </a:solidFill>
              <a:round/>
            </a:ln>
            <a:effectLst/>
          </c:spPr>
          <c:marker>
            <c:symbol val="none"/>
          </c:marker>
          <c:cat>
            <c:numRef>
              <c:f>'Electric Vehicles'!$A$4:$A$67</c:f>
              <c:numCache>
                <c:formatCode>m/d/yyyy</c:formatCode>
                <c:ptCount val="64"/>
                <c:pt idx="0">
                  <c:v>41275</c:v>
                </c:pt>
                <c:pt idx="1">
                  <c:v>41365</c:v>
                </c:pt>
                <c:pt idx="2">
                  <c:v>41456</c:v>
                </c:pt>
                <c:pt idx="3">
                  <c:v>41548</c:v>
                </c:pt>
                <c:pt idx="4">
                  <c:v>41640</c:v>
                </c:pt>
                <c:pt idx="5">
                  <c:v>41730</c:v>
                </c:pt>
                <c:pt idx="6">
                  <c:v>41821</c:v>
                </c:pt>
                <c:pt idx="7">
                  <c:v>41913</c:v>
                </c:pt>
                <c:pt idx="8">
                  <c:v>42005</c:v>
                </c:pt>
                <c:pt idx="9">
                  <c:v>42095</c:v>
                </c:pt>
                <c:pt idx="10">
                  <c:v>42186</c:v>
                </c:pt>
                <c:pt idx="11">
                  <c:v>42278</c:v>
                </c:pt>
                <c:pt idx="12">
                  <c:v>42370</c:v>
                </c:pt>
                <c:pt idx="13">
                  <c:v>42461</c:v>
                </c:pt>
                <c:pt idx="14">
                  <c:v>42552</c:v>
                </c:pt>
                <c:pt idx="15">
                  <c:v>42644</c:v>
                </c:pt>
                <c:pt idx="16">
                  <c:v>42736</c:v>
                </c:pt>
                <c:pt idx="17">
                  <c:v>42826</c:v>
                </c:pt>
                <c:pt idx="18">
                  <c:v>42917</c:v>
                </c:pt>
                <c:pt idx="19">
                  <c:v>43009</c:v>
                </c:pt>
                <c:pt idx="20">
                  <c:v>43101</c:v>
                </c:pt>
                <c:pt idx="21">
                  <c:v>43191</c:v>
                </c:pt>
                <c:pt idx="22">
                  <c:v>43282</c:v>
                </c:pt>
                <c:pt idx="23">
                  <c:v>43374</c:v>
                </c:pt>
                <c:pt idx="24">
                  <c:v>43466</c:v>
                </c:pt>
                <c:pt idx="25">
                  <c:v>43556</c:v>
                </c:pt>
                <c:pt idx="26">
                  <c:v>43647</c:v>
                </c:pt>
                <c:pt idx="27">
                  <c:v>43739</c:v>
                </c:pt>
                <c:pt idx="28">
                  <c:v>43831</c:v>
                </c:pt>
                <c:pt idx="29">
                  <c:v>43922</c:v>
                </c:pt>
                <c:pt idx="30">
                  <c:v>44013</c:v>
                </c:pt>
                <c:pt idx="31">
                  <c:v>44105</c:v>
                </c:pt>
                <c:pt idx="32">
                  <c:v>44197</c:v>
                </c:pt>
                <c:pt idx="33">
                  <c:v>44287</c:v>
                </c:pt>
                <c:pt idx="34">
                  <c:v>44378</c:v>
                </c:pt>
                <c:pt idx="35">
                  <c:v>44470</c:v>
                </c:pt>
                <c:pt idx="36">
                  <c:v>44562</c:v>
                </c:pt>
                <c:pt idx="37">
                  <c:v>44652</c:v>
                </c:pt>
                <c:pt idx="38">
                  <c:v>44743</c:v>
                </c:pt>
                <c:pt idx="39">
                  <c:v>44835</c:v>
                </c:pt>
                <c:pt idx="40">
                  <c:v>44927</c:v>
                </c:pt>
                <c:pt idx="41">
                  <c:v>45017</c:v>
                </c:pt>
                <c:pt idx="42">
                  <c:v>45108</c:v>
                </c:pt>
                <c:pt idx="43">
                  <c:v>45200</c:v>
                </c:pt>
                <c:pt idx="44">
                  <c:v>45292</c:v>
                </c:pt>
                <c:pt idx="45">
                  <c:v>45383</c:v>
                </c:pt>
                <c:pt idx="46">
                  <c:v>45474</c:v>
                </c:pt>
                <c:pt idx="47">
                  <c:v>45566</c:v>
                </c:pt>
                <c:pt idx="48">
                  <c:v>45658</c:v>
                </c:pt>
                <c:pt idx="49">
                  <c:v>45748</c:v>
                </c:pt>
                <c:pt idx="50">
                  <c:v>45839</c:v>
                </c:pt>
                <c:pt idx="51">
                  <c:v>45931</c:v>
                </c:pt>
                <c:pt idx="52">
                  <c:v>46023</c:v>
                </c:pt>
                <c:pt idx="53">
                  <c:v>46113</c:v>
                </c:pt>
                <c:pt idx="54">
                  <c:v>46204</c:v>
                </c:pt>
                <c:pt idx="55">
                  <c:v>46296</c:v>
                </c:pt>
                <c:pt idx="56">
                  <c:v>46388</c:v>
                </c:pt>
                <c:pt idx="57">
                  <c:v>46478</c:v>
                </c:pt>
                <c:pt idx="58">
                  <c:v>46569</c:v>
                </c:pt>
                <c:pt idx="59">
                  <c:v>46661</c:v>
                </c:pt>
                <c:pt idx="60">
                  <c:v>46753</c:v>
                </c:pt>
                <c:pt idx="61">
                  <c:v>46844</c:v>
                </c:pt>
                <c:pt idx="62">
                  <c:v>46935</c:v>
                </c:pt>
                <c:pt idx="63">
                  <c:v>47027</c:v>
                </c:pt>
              </c:numCache>
            </c:numRef>
          </c:cat>
          <c:val>
            <c:numRef>
              <c:f>'Electric Vehicles'!$R$4:$R$63</c:f>
              <c:numCache>
                <c:formatCode>#,##0</c:formatCode>
                <c:ptCount val="60"/>
                <c:pt idx="0">
                  <c:v>2586</c:v>
                </c:pt>
                <c:pt idx="1">
                  <c:v>3075</c:v>
                </c:pt>
                <c:pt idx="2">
                  <c:v>3677</c:v>
                </c:pt>
                <c:pt idx="3">
                  <c:v>4374</c:v>
                </c:pt>
                <c:pt idx="4">
                  <c:v>4762</c:v>
                </c:pt>
                <c:pt idx="5">
                  <c:v>5232</c:v>
                </c:pt>
                <c:pt idx="6">
                  <c:v>5919</c:v>
                </c:pt>
                <c:pt idx="7">
                  <c:v>6642</c:v>
                </c:pt>
                <c:pt idx="8">
                  <c:v>7192</c:v>
                </c:pt>
                <c:pt idx="9">
                  <c:v>7885</c:v>
                </c:pt>
                <c:pt idx="10">
                  <c:v>8620</c:v>
                </c:pt>
                <c:pt idx="11">
                  <c:v>9313</c:v>
                </c:pt>
                <c:pt idx="12">
                  <c:v>10172</c:v>
                </c:pt>
                <c:pt idx="13">
                  <c:v>11122</c:v>
                </c:pt>
                <c:pt idx="14">
                  <c:v>12057</c:v>
                </c:pt>
                <c:pt idx="15">
                  <c:v>13169</c:v>
                </c:pt>
                <c:pt idx="16">
                  <c:v>14319</c:v>
                </c:pt>
                <c:pt idx="17">
                  <c:v>15418</c:v>
                </c:pt>
                <c:pt idx="18">
                  <c:v>16325</c:v>
                </c:pt>
                <c:pt idx="19">
                  <c:v>17313</c:v>
                </c:pt>
                <c:pt idx="20">
                  <c:v>18461</c:v>
                </c:pt>
                <c:pt idx="21">
                  <c:v>19638</c:v>
                </c:pt>
                <c:pt idx="22">
                  <c:v>20867</c:v>
                </c:pt>
                <c:pt idx="23">
                  <c:v>22847</c:v>
                </c:pt>
                <c:pt idx="24">
                  <c:v>24747</c:v>
                </c:pt>
                <c:pt idx="25">
                  <c:v>26315</c:v>
                </c:pt>
                <c:pt idx="26">
                  <c:v>28425</c:v>
                </c:pt>
                <c:pt idx="27">
                  <c:v>30242</c:v>
                </c:pt>
                <c:pt idx="28">
                  <c:v>31990</c:v>
                </c:pt>
                <c:pt idx="29">
                  <c:v>32171</c:v>
                </c:pt>
                <c:pt idx="30">
                  <c:v>33247</c:v>
                </c:pt>
                <c:pt idx="31">
                  <c:v>35165</c:v>
                </c:pt>
                <c:pt idx="32">
                  <c:v>37275</c:v>
                </c:pt>
                <c:pt idx="33">
                  <c:v>39640</c:v>
                </c:pt>
                <c:pt idx="34">
                  <c:v>42996</c:v>
                </c:pt>
                <c:pt idx="35">
                  <c:v>46706</c:v>
                </c:pt>
                <c:pt idx="36">
                  <c:v>49713</c:v>
                </c:pt>
                <c:pt idx="37">
                  <c:v>53107</c:v>
                </c:pt>
                <c:pt idx="38">
                  <c:v>57755</c:v>
                </c:pt>
                <c:pt idx="39">
                  <c:v>62567</c:v>
                </c:pt>
                <c:pt idx="40">
                  <c:v>67868</c:v>
                </c:pt>
                <c:pt idx="41">
                  <c:v>72214</c:v>
                </c:pt>
                <c:pt idx="42">
                  <c:v>79064</c:v>
                </c:pt>
                <c:pt idx="43">
                  <c:v>84920</c:v>
                </c:pt>
                <c:pt idx="44">
                  <c:v>91398</c:v>
                </c:pt>
                <c:pt idx="45">
                  <c:v>98765</c:v>
                </c:pt>
                <c:pt idx="46">
                  <c:v>106110</c:v>
                </c:pt>
                <c:pt idx="47">
                  <c:v>113113</c:v>
                </c:pt>
                <c:pt idx="48">
                  <c:v>122978</c:v>
                </c:pt>
                <c:pt idx="49">
                  <c:v>131880</c:v>
                </c:pt>
                <c:pt idx="50">
                  <c:v>141046</c:v>
                </c:pt>
                <c:pt idx="51">
                  <c:v>150107</c:v>
                </c:pt>
                <c:pt idx="52">
                  <c:v>162398</c:v>
                </c:pt>
                <c:pt idx="53">
                  <c:v>173688</c:v>
                </c:pt>
                <c:pt idx="54">
                  <c:v>185184</c:v>
                </c:pt>
                <c:pt idx="55">
                  <c:v>196264</c:v>
                </c:pt>
                <c:pt idx="56">
                  <c:v>211720</c:v>
                </c:pt>
                <c:pt idx="57">
                  <c:v>225785</c:v>
                </c:pt>
                <c:pt idx="58">
                  <c:v>240436</c:v>
                </c:pt>
                <c:pt idx="59">
                  <c:v>254837</c:v>
                </c:pt>
              </c:numCache>
            </c:numRef>
          </c:val>
          <c:smooth val="0"/>
          <c:extLst>
            <c:ext xmlns:c16="http://schemas.microsoft.com/office/drawing/2014/chart" uri="{C3380CC4-5D6E-409C-BE32-E72D297353CC}">
              <c16:uniqueId val="{00000002-946D-43E5-8064-F0A956C86027}"/>
            </c:ext>
          </c:extLst>
        </c:ser>
        <c:ser>
          <c:idx val="0"/>
          <c:order val="1"/>
          <c:tx>
            <c:strRef>
              <c:f>'Electric Vehicles'!$H$3</c:f>
              <c:strCache>
                <c:ptCount val="1"/>
                <c:pt idx="0">
                  <c:v>Current forecast</c:v>
                </c:pt>
              </c:strCache>
            </c:strRef>
          </c:tx>
          <c:spPr>
            <a:ln w="38100" cap="rnd">
              <a:solidFill>
                <a:schemeClr val="accent1"/>
              </a:solidFill>
              <a:round/>
            </a:ln>
            <a:effectLst/>
          </c:spPr>
          <c:marker>
            <c:symbol val="none"/>
          </c:marker>
          <c:cat>
            <c:numRef>
              <c:f>'Electric Vehicles'!$A$4:$A$67</c:f>
              <c:numCache>
                <c:formatCode>m/d/yyyy</c:formatCode>
                <c:ptCount val="64"/>
                <c:pt idx="0">
                  <c:v>41275</c:v>
                </c:pt>
                <c:pt idx="1">
                  <c:v>41365</c:v>
                </c:pt>
                <c:pt idx="2">
                  <c:v>41456</c:v>
                </c:pt>
                <c:pt idx="3">
                  <c:v>41548</c:v>
                </c:pt>
                <c:pt idx="4">
                  <c:v>41640</c:v>
                </c:pt>
                <c:pt idx="5">
                  <c:v>41730</c:v>
                </c:pt>
                <c:pt idx="6">
                  <c:v>41821</c:v>
                </c:pt>
                <c:pt idx="7">
                  <c:v>41913</c:v>
                </c:pt>
                <c:pt idx="8">
                  <c:v>42005</c:v>
                </c:pt>
                <c:pt idx="9">
                  <c:v>42095</c:v>
                </c:pt>
                <c:pt idx="10">
                  <c:v>42186</c:v>
                </c:pt>
                <c:pt idx="11">
                  <c:v>42278</c:v>
                </c:pt>
                <c:pt idx="12">
                  <c:v>42370</c:v>
                </c:pt>
                <c:pt idx="13">
                  <c:v>42461</c:v>
                </c:pt>
                <c:pt idx="14">
                  <c:v>42552</c:v>
                </c:pt>
                <c:pt idx="15">
                  <c:v>42644</c:v>
                </c:pt>
                <c:pt idx="16">
                  <c:v>42736</c:v>
                </c:pt>
                <c:pt idx="17">
                  <c:v>42826</c:v>
                </c:pt>
                <c:pt idx="18">
                  <c:v>42917</c:v>
                </c:pt>
                <c:pt idx="19">
                  <c:v>43009</c:v>
                </c:pt>
                <c:pt idx="20">
                  <c:v>43101</c:v>
                </c:pt>
                <c:pt idx="21">
                  <c:v>43191</c:v>
                </c:pt>
                <c:pt idx="22">
                  <c:v>43282</c:v>
                </c:pt>
                <c:pt idx="23">
                  <c:v>43374</c:v>
                </c:pt>
                <c:pt idx="24">
                  <c:v>43466</c:v>
                </c:pt>
                <c:pt idx="25">
                  <c:v>43556</c:v>
                </c:pt>
                <c:pt idx="26">
                  <c:v>43647</c:v>
                </c:pt>
                <c:pt idx="27">
                  <c:v>43739</c:v>
                </c:pt>
                <c:pt idx="28">
                  <c:v>43831</c:v>
                </c:pt>
                <c:pt idx="29">
                  <c:v>43922</c:v>
                </c:pt>
                <c:pt idx="30">
                  <c:v>44013</c:v>
                </c:pt>
                <c:pt idx="31">
                  <c:v>44105</c:v>
                </c:pt>
                <c:pt idx="32">
                  <c:v>44197</c:v>
                </c:pt>
                <c:pt idx="33">
                  <c:v>44287</c:v>
                </c:pt>
                <c:pt idx="34">
                  <c:v>44378</c:v>
                </c:pt>
                <c:pt idx="35">
                  <c:v>44470</c:v>
                </c:pt>
                <c:pt idx="36">
                  <c:v>44562</c:v>
                </c:pt>
                <c:pt idx="37">
                  <c:v>44652</c:v>
                </c:pt>
                <c:pt idx="38">
                  <c:v>44743</c:v>
                </c:pt>
                <c:pt idx="39">
                  <c:v>44835</c:v>
                </c:pt>
                <c:pt idx="40">
                  <c:v>44927</c:v>
                </c:pt>
                <c:pt idx="41">
                  <c:v>45017</c:v>
                </c:pt>
                <c:pt idx="42">
                  <c:v>45108</c:v>
                </c:pt>
                <c:pt idx="43">
                  <c:v>45200</c:v>
                </c:pt>
                <c:pt idx="44">
                  <c:v>45292</c:v>
                </c:pt>
                <c:pt idx="45">
                  <c:v>45383</c:v>
                </c:pt>
                <c:pt idx="46">
                  <c:v>45474</c:v>
                </c:pt>
                <c:pt idx="47">
                  <c:v>45566</c:v>
                </c:pt>
                <c:pt idx="48">
                  <c:v>45658</c:v>
                </c:pt>
                <c:pt idx="49">
                  <c:v>45748</c:v>
                </c:pt>
                <c:pt idx="50">
                  <c:v>45839</c:v>
                </c:pt>
                <c:pt idx="51">
                  <c:v>45931</c:v>
                </c:pt>
                <c:pt idx="52">
                  <c:v>46023</c:v>
                </c:pt>
                <c:pt idx="53">
                  <c:v>46113</c:v>
                </c:pt>
                <c:pt idx="54">
                  <c:v>46204</c:v>
                </c:pt>
                <c:pt idx="55">
                  <c:v>46296</c:v>
                </c:pt>
                <c:pt idx="56">
                  <c:v>46388</c:v>
                </c:pt>
                <c:pt idx="57">
                  <c:v>46478</c:v>
                </c:pt>
                <c:pt idx="58">
                  <c:v>46569</c:v>
                </c:pt>
                <c:pt idx="59">
                  <c:v>46661</c:v>
                </c:pt>
                <c:pt idx="60">
                  <c:v>46753</c:v>
                </c:pt>
                <c:pt idx="61">
                  <c:v>46844</c:v>
                </c:pt>
                <c:pt idx="62">
                  <c:v>46935</c:v>
                </c:pt>
                <c:pt idx="63">
                  <c:v>47027</c:v>
                </c:pt>
              </c:numCache>
            </c:numRef>
          </c:cat>
          <c:val>
            <c:numRef>
              <c:f>'Electric Vehicles'!$H$4:$H$67</c:f>
              <c:numCache>
                <c:formatCode>#,##0</c:formatCode>
                <c:ptCount val="64"/>
                <c:pt idx="0">
                  <c:v>2586</c:v>
                </c:pt>
                <c:pt idx="1">
                  <c:v>3075</c:v>
                </c:pt>
                <c:pt idx="2">
                  <c:v>3677</c:v>
                </c:pt>
                <c:pt idx="3">
                  <c:v>4374</c:v>
                </c:pt>
                <c:pt idx="4">
                  <c:v>4762</c:v>
                </c:pt>
                <c:pt idx="5">
                  <c:v>5232</c:v>
                </c:pt>
                <c:pt idx="6">
                  <c:v>5919</c:v>
                </c:pt>
                <c:pt idx="7">
                  <c:v>6642</c:v>
                </c:pt>
                <c:pt idx="8">
                  <c:v>7192</c:v>
                </c:pt>
                <c:pt idx="9">
                  <c:v>7885</c:v>
                </c:pt>
                <c:pt idx="10">
                  <c:v>8620</c:v>
                </c:pt>
                <c:pt idx="11">
                  <c:v>9313</c:v>
                </c:pt>
                <c:pt idx="12">
                  <c:v>10172</c:v>
                </c:pt>
                <c:pt idx="13">
                  <c:v>11122</c:v>
                </c:pt>
                <c:pt idx="14">
                  <c:v>12057</c:v>
                </c:pt>
                <c:pt idx="15">
                  <c:v>13169</c:v>
                </c:pt>
                <c:pt idx="16">
                  <c:v>14319</c:v>
                </c:pt>
                <c:pt idx="17">
                  <c:v>15418</c:v>
                </c:pt>
                <c:pt idx="18">
                  <c:v>16325</c:v>
                </c:pt>
                <c:pt idx="19">
                  <c:v>17313</c:v>
                </c:pt>
                <c:pt idx="20">
                  <c:v>18461</c:v>
                </c:pt>
                <c:pt idx="21">
                  <c:v>19638</c:v>
                </c:pt>
                <c:pt idx="22">
                  <c:v>20867</c:v>
                </c:pt>
                <c:pt idx="23">
                  <c:v>22847</c:v>
                </c:pt>
                <c:pt idx="24">
                  <c:v>24747</c:v>
                </c:pt>
                <c:pt idx="25">
                  <c:v>26315</c:v>
                </c:pt>
                <c:pt idx="26">
                  <c:v>28425</c:v>
                </c:pt>
                <c:pt idx="27">
                  <c:v>30242</c:v>
                </c:pt>
                <c:pt idx="28">
                  <c:v>31990</c:v>
                </c:pt>
                <c:pt idx="29">
                  <c:v>32171</c:v>
                </c:pt>
                <c:pt idx="30">
                  <c:v>33247</c:v>
                </c:pt>
                <c:pt idx="31">
                  <c:v>35165</c:v>
                </c:pt>
                <c:pt idx="32">
                  <c:v>37275</c:v>
                </c:pt>
                <c:pt idx="33">
                  <c:v>39640</c:v>
                </c:pt>
                <c:pt idx="34">
                  <c:v>42996</c:v>
                </c:pt>
                <c:pt idx="35">
                  <c:v>46707</c:v>
                </c:pt>
                <c:pt idx="36">
                  <c:v>49714</c:v>
                </c:pt>
                <c:pt idx="37">
                  <c:v>53111</c:v>
                </c:pt>
                <c:pt idx="38">
                  <c:v>57759</c:v>
                </c:pt>
                <c:pt idx="39">
                  <c:v>62576</c:v>
                </c:pt>
                <c:pt idx="40">
                  <c:v>67886</c:v>
                </c:pt>
                <c:pt idx="41">
                  <c:v>72243</c:v>
                </c:pt>
                <c:pt idx="42">
                  <c:v>79110</c:v>
                </c:pt>
                <c:pt idx="43">
                  <c:v>84998</c:v>
                </c:pt>
                <c:pt idx="44">
                  <c:v>91555</c:v>
                </c:pt>
                <c:pt idx="45">
                  <c:v>98279</c:v>
                </c:pt>
                <c:pt idx="46">
                  <c:v>104640</c:v>
                </c:pt>
                <c:pt idx="47">
                  <c:v>109473</c:v>
                </c:pt>
                <c:pt idx="48">
                  <c:v>115774</c:v>
                </c:pt>
                <c:pt idx="49">
                  <c:v>120615</c:v>
                </c:pt>
                <c:pt idx="50">
                  <c:v>125656</c:v>
                </c:pt>
                <c:pt idx="51">
                  <c:v>130680</c:v>
                </c:pt>
                <c:pt idx="52">
                  <c:v>140613</c:v>
                </c:pt>
                <c:pt idx="53">
                  <c:v>149561</c:v>
                </c:pt>
                <c:pt idx="54">
                  <c:v>158661</c:v>
                </c:pt>
                <c:pt idx="55">
                  <c:v>167256</c:v>
                </c:pt>
                <c:pt idx="56">
                  <c:v>180104</c:v>
                </c:pt>
                <c:pt idx="57">
                  <c:v>191870</c:v>
                </c:pt>
                <c:pt idx="58">
                  <c:v>203819</c:v>
                </c:pt>
                <c:pt idx="59">
                  <c:v>215483</c:v>
                </c:pt>
                <c:pt idx="60">
                  <c:v>230739</c:v>
                </c:pt>
                <c:pt idx="61">
                  <c:v>244200</c:v>
                </c:pt>
                <c:pt idx="62">
                  <c:v>258516</c:v>
                </c:pt>
                <c:pt idx="63">
                  <c:v>271887</c:v>
                </c:pt>
              </c:numCache>
            </c:numRef>
          </c:val>
          <c:smooth val="0"/>
          <c:extLst>
            <c:ext xmlns:c16="http://schemas.microsoft.com/office/drawing/2014/chart" uri="{C3380CC4-5D6E-409C-BE32-E72D297353CC}">
              <c16:uniqueId val="{00000000-EF24-4740-A444-3B2B1319CDF5}"/>
            </c:ext>
          </c:extLst>
        </c:ser>
        <c:dLbls>
          <c:showLegendKey val="0"/>
          <c:showVal val="0"/>
          <c:showCatName val="0"/>
          <c:showSerName val="0"/>
          <c:showPercent val="0"/>
          <c:showBubbleSize val="0"/>
        </c:dLbls>
        <c:smooth val="0"/>
        <c:axId val="434422656"/>
        <c:axId val="434422264"/>
      </c:lineChart>
      <c:dateAx>
        <c:axId val="434422656"/>
        <c:scaling>
          <c:orientation val="minMax"/>
        </c:scaling>
        <c:delete val="0"/>
        <c:axPos val="b"/>
        <c:numFmt formatCode="yyyy" sourceLinked="0"/>
        <c:majorTickMark val="cross"/>
        <c:minorTickMark val="none"/>
        <c:tickLblPos val="nextTo"/>
        <c:spPr>
          <a:noFill/>
          <a:ln w="6350" cap="flat" cmpd="sng" algn="ctr">
            <a:noFill/>
            <a:round/>
          </a:ln>
          <a:effectLst/>
        </c:spPr>
        <c:txPr>
          <a:bodyPr rot="-246000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34422264"/>
        <c:crosses val="autoZero"/>
        <c:auto val="1"/>
        <c:lblOffset val="100"/>
        <c:baseTimeUnit val="months"/>
        <c:majorUnit val="12"/>
        <c:majorTimeUnit val="months"/>
      </c:dateAx>
      <c:valAx>
        <c:axId val="434422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34422656"/>
        <c:crossesAt val="45658"/>
        <c:crossBetween val="between"/>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Electric Vehicle Fleet</a:t>
            </a:r>
          </a:p>
          <a:p>
            <a:pPr>
              <a:defRPr/>
            </a:pPr>
            <a:r>
              <a:rPr lang="en-US"/>
              <a:t>(Quarterly changes, year-over-year)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6591822995606254E-2"/>
          <c:y val="0.13137450102282752"/>
          <c:w val="0.89931179561852925"/>
          <c:h val="0.71889094162684486"/>
        </c:manualLayout>
      </c:layout>
      <c:barChart>
        <c:barDir val="col"/>
        <c:grouping val="clustered"/>
        <c:varyColors val="0"/>
        <c:ser>
          <c:idx val="2"/>
          <c:order val="0"/>
          <c:tx>
            <c:strRef>
              <c:f>'Electric Vehicles'!$N$3</c:f>
              <c:strCache>
                <c:ptCount val="1"/>
                <c:pt idx="0">
                  <c:v>Total</c:v>
                </c:pt>
              </c:strCache>
            </c:strRef>
          </c:tx>
          <c:spPr>
            <a:solidFill>
              <a:schemeClr val="accent3"/>
            </a:solidFill>
            <a:ln>
              <a:noFill/>
            </a:ln>
            <a:effectLst/>
          </c:spPr>
          <c:invertIfNegative val="0"/>
          <c:cat>
            <c:numRef>
              <c:f>'Electric Vehicles'!$A$8:$A$63</c:f>
              <c:numCache>
                <c:formatCode>m/d/yyyy</c:formatCode>
                <c:ptCount val="56"/>
                <c:pt idx="0">
                  <c:v>41640</c:v>
                </c:pt>
                <c:pt idx="1">
                  <c:v>41730</c:v>
                </c:pt>
                <c:pt idx="2">
                  <c:v>41821</c:v>
                </c:pt>
                <c:pt idx="3">
                  <c:v>41913</c:v>
                </c:pt>
                <c:pt idx="4">
                  <c:v>42005</c:v>
                </c:pt>
                <c:pt idx="5">
                  <c:v>42095</c:v>
                </c:pt>
                <c:pt idx="6">
                  <c:v>42186</c:v>
                </c:pt>
                <c:pt idx="7">
                  <c:v>42278</c:v>
                </c:pt>
                <c:pt idx="8">
                  <c:v>42370</c:v>
                </c:pt>
                <c:pt idx="9">
                  <c:v>42461</c:v>
                </c:pt>
                <c:pt idx="10">
                  <c:v>42552</c:v>
                </c:pt>
                <c:pt idx="11">
                  <c:v>42644</c:v>
                </c:pt>
                <c:pt idx="12">
                  <c:v>42736</c:v>
                </c:pt>
                <c:pt idx="13">
                  <c:v>42826</c:v>
                </c:pt>
                <c:pt idx="14">
                  <c:v>42917</c:v>
                </c:pt>
                <c:pt idx="15">
                  <c:v>43009</c:v>
                </c:pt>
                <c:pt idx="16">
                  <c:v>43101</c:v>
                </c:pt>
                <c:pt idx="17">
                  <c:v>43191</c:v>
                </c:pt>
                <c:pt idx="18">
                  <c:v>43282</c:v>
                </c:pt>
                <c:pt idx="19">
                  <c:v>43374</c:v>
                </c:pt>
                <c:pt idx="20">
                  <c:v>43466</c:v>
                </c:pt>
                <c:pt idx="21">
                  <c:v>43556</c:v>
                </c:pt>
                <c:pt idx="22">
                  <c:v>43647</c:v>
                </c:pt>
                <c:pt idx="23">
                  <c:v>43739</c:v>
                </c:pt>
                <c:pt idx="24">
                  <c:v>43831</c:v>
                </c:pt>
                <c:pt idx="25">
                  <c:v>43922</c:v>
                </c:pt>
                <c:pt idx="26">
                  <c:v>44013</c:v>
                </c:pt>
                <c:pt idx="27">
                  <c:v>44105</c:v>
                </c:pt>
                <c:pt idx="28">
                  <c:v>44197</c:v>
                </c:pt>
                <c:pt idx="29">
                  <c:v>44287</c:v>
                </c:pt>
                <c:pt idx="30">
                  <c:v>44378</c:v>
                </c:pt>
                <c:pt idx="31">
                  <c:v>44470</c:v>
                </c:pt>
                <c:pt idx="32">
                  <c:v>44562</c:v>
                </c:pt>
                <c:pt idx="33">
                  <c:v>44652</c:v>
                </c:pt>
                <c:pt idx="34">
                  <c:v>44743</c:v>
                </c:pt>
                <c:pt idx="35">
                  <c:v>44835</c:v>
                </c:pt>
                <c:pt idx="36">
                  <c:v>44927</c:v>
                </c:pt>
                <c:pt idx="37">
                  <c:v>45017</c:v>
                </c:pt>
                <c:pt idx="38">
                  <c:v>45108</c:v>
                </c:pt>
                <c:pt idx="39">
                  <c:v>45200</c:v>
                </c:pt>
                <c:pt idx="40">
                  <c:v>45292</c:v>
                </c:pt>
                <c:pt idx="41">
                  <c:v>45383</c:v>
                </c:pt>
                <c:pt idx="42">
                  <c:v>45474</c:v>
                </c:pt>
                <c:pt idx="43">
                  <c:v>45566</c:v>
                </c:pt>
                <c:pt idx="44">
                  <c:v>45658</c:v>
                </c:pt>
                <c:pt idx="45">
                  <c:v>45748</c:v>
                </c:pt>
                <c:pt idx="46">
                  <c:v>45839</c:v>
                </c:pt>
                <c:pt idx="47">
                  <c:v>45931</c:v>
                </c:pt>
                <c:pt idx="48">
                  <c:v>46023</c:v>
                </c:pt>
                <c:pt idx="49">
                  <c:v>46113</c:v>
                </c:pt>
                <c:pt idx="50">
                  <c:v>46204</c:v>
                </c:pt>
                <c:pt idx="51">
                  <c:v>46296</c:v>
                </c:pt>
                <c:pt idx="52">
                  <c:v>46388</c:v>
                </c:pt>
                <c:pt idx="53">
                  <c:v>46478</c:v>
                </c:pt>
                <c:pt idx="54">
                  <c:v>46569</c:v>
                </c:pt>
                <c:pt idx="55">
                  <c:v>46661</c:v>
                </c:pt>
              </c:numCache>
            </c:numRef>
          </c:cat>
          <c:val>
            <c:numRef>
              <c:f>'Electric Vehicles'!$N$8:$N$63</c:f>
              <c:numCache>
                <c:formatCode>0%</c:formatCode>
                <c:ptCount val="56"/>
                <c:pt idx="0">
                  <c:v>0.84145398298530538</c:v>
                </c:pt>
                <c:pt idx="1">
                  <c:v>0.7014634146341463</c:v>
                </c:pt>
                <c:pt idx="2">
                  <c:v>0.60973619798748979</c:v>
                </c:pt>
                <c:pt idx="3">
                  <c:v>0.5185185185185186</c:v>
                </c:pt>
                <c:pt idx="4">
                  <c:v>0.51028979420411602</c:v>
                </c:pt>
                <c:pt idx="5">
                  <c:v>0.50707186544342497</c:v>
                </c:pt>
                <c:pt idx="6">
                  <c:v>0.4563270822774117</c:v>
                </c:pt>
                <c:pt idx="7">
                  <c:v>0.40213791026799162</c:v>
                </c:pt>
                <c:pt idx="8">
                  <c:v>0.41434927697441593</c:v>
                </c:pt>
                <c:pt idx="9">
                  <c:v>0.41052631578947363</c:v>
                </c:pt>
                <c:pt idx="10">
                  <c:v>0.39872389791183305</c:v>
                </c:pt>
                <c:pt idx="11">
                  <c:v>0.41404488349618807</c:v>
                </c:pt>
                <c:pt idx="12">
                  <c:v>0.40768777034998038</c:v>
                </c:pt>
                <c:pt idx="13">
                  <c:v>0.38626146376550974</c:v>
                </c:pt>
                <c:pt idx="14">
                  <c:v>0.35398523679190519</c:v>
                </c:pt>
                <c:pt idx="15">
                  <c:v>0.31467841142076081</c:v>
                </c:pt>
                <c:pt idx="16">
                  <c:v>0.28926601019624276</c:v>
                </c:pt>
                <c:pt idx="17">
                  <c:v>0.2737060578544559</c:v>
                </c:pt>
                <c:pt idx="18">
                  <c:v>0.27822358346094944</c:v>
                </c:pt>
                <c:pt idx="19">
                  <c:v>0.31964419800150168</c:v>
                </c:pt>
                <c:pt idx="20">
                  <c:v>0.34050159796327395</c:v>
                </c:pt>
                <c:pt idx="21">
                  <c:v>0.34000407373459618</c:v>
                </c:pt>
                <c:pt idx="22">
                  <c:v>0.36219868692193424</c:v>
                </c:pt>
                <c:pt idx="23">
                  <c:v>0.32367488072832318</c:v>
                </c:pt>
                <c:pt idx="24">
                  <c:v>0.29268194124540359</c:v>
                </c:pt>
                <c:pt idx="25">
                  <c:v>0.2225346760402811</c:v>
                </c:pt>
                <c:pt idx="26">
                  <c:v>0.16963940193491656</c:v>
                </c:pt>
                <c:pt idx="27">
                  <c:v>0.16278685272138094</c:v>
                </c:pt>
                <c:pt idx="28">
                  <c:v>0.16520787746170673</c:v>
                </c:pt>
                <c:pt idx="29">
                  <c:v>0.23216561499487121</c:v>
                </c:pt>
                <c:pt idx="30">
                  <c:v>0.29322946431256947</c:v>
                </c:pt>
                <c:pt idx="31">
                  <c:v>0.32822408644959467</c:v>
                </c:pt>
                <c:pt idx="32">
                  <c:v>0.33370892018779341</c:v>
                </c:pt>
                <c:pt idx="33">
                  <c:v>0.33983350151362268</c:v>
                </c:pt>
                <c:pt idx="34">
                  <c:v>0.34335752162991917</c:v>
                </c:pt>
                <c:pt idx="35">
                  <c:v>0.33975635343738619</c:v>
                </c:pt>
                <c:pt idx="36">
                  <c:v>0.36553083638411721</c:v>
                </c:pt>
                <c:pt idx="37">
                  <c:v>0.36022669503492688</c:v>
                </c:pt>
                <c:pt idx="38">
                  <c:v>0.36965667688152504</c:v>
                </c:pt>
                <c:pt idx="39">
                  <c:v>0.35831628739452825</c:v>
                </c:pt>
                <c:pt idx="40">
                  <c:v>0.34865804436850012</c:v>
                </c:pt>
                <c:pt idx="41">
                  <c:v>0.36039477873288761</c:v>
                </c:pt>
                <c:pt idx="42">
                  <c:v>0.32271520667425113</c:v>
                </c:pt>
                <c:pt idx="43">
                  <c:v>0.28794795171651089</c:v>
                </c:pt>
                <c:pt idx="44">
                  <c:v>0.26452951777620015</c:v>
                </c:pt>
                <c:pt idx="45">
                  <c:v>0.22727133975722169</c:v>
                </c:pt>
                <c:pt idx="46">
                  <c:v>0.2008409785932721</c:v>
                </c:pt>
                <c:pt idx="47">
                  <c:v>0.19371899920528346</c:v>
                </c:pt>
                <c:pt idx="48">
                  <c:v>0.21454730768566344</c:v>
                </c:pt>
                <c:pt idx="49">
                  <c:v>0.23998673465157738</c:v>
                </c:pt>
                <c:pt idx="50">
                  <c:v>0.26266155217418996</c:v>
                </c:pt>
                <c:pt idx="51">
                  <c:v>0.27988980716253442</c:v>
                </c:pt>
                <c:pt idx="52">
                  <c:v>0.28084885465781961</c:v>
                </c:pt>
                <c:pt idx="53">
                  <c:v>0.282887918641892</c:v>
                </c:pt>
                <c:pt idx="54">
                  <c:v>0.28461940867636026</c:v>
                </c:pt>
                <c:pt idx="55">
                  <c:v>0.28834242119864162</c:v>
                </c:pt>
              </c:numCache>
            </c:numRef>
          </c:val>
          <c:extLst>
            <c:ext xmlns:c16="http://schemas.microsoft.com/office/drawing/2014/chart" uri="{C3380CC4-5D6E-409C-BE32-E72D297353CC}">
              <c16:uniqueId val="{00000002-0BCE-4B74-B8E9-2806189225CA}"/>
            </c:ext>
          </c:extLst>
        </c:ser>
        <c:dLbls>
          <c:showLegendKey val="0"/>
          <c:showVal val="0"/>
          <c:showCatName val="0"/>
          <c:showSerName val="0"/>
          <c:showPercent val="0"/>
          <c:showBubbleSize val="0"/>
        </c:dLbls>
        <c:gapWidth val="219"/>
        <c:overlap val="-27"/>
        <c:axId val="434420696"/>
        <c:axId val="434423440"/>
      </c:barChart>
      <c:dateAx>
        <c:axId val="43442069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336000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34423440"/>
        <c:crosses val="autoZero"/>
        <c:auto val="1"/>
        <c:lblOffset val="100"/>
        <c:baseTimeUnit val="months"/>
      </c:dateAx>
      <c:valAx>
        <c:axId val="434423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34420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Carbon Intensity</a:t>
            </a:r>
            <a:r>
              <a:rPr lang="en-US" baseline="0"/>
              <a:t> Targets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9247594050743664E-2"/>
          <c:y val="0.17171296296296296"/>
          <c:w val="0.89019685039370078"/>
          <c:h val="0.69760279965004379"/>
        </c:manualLayout>
      </c:layout>
      <c:lineChart>
        <c:grouping val="standard"/>
        <c:varyColors val="0"/>
        <c:ser>
          <c:idx val="0"/>
          <c:order val="0"/>
          <c:tx>
            <c:strRef>
              <c:f>Constants_out!$S$18</c:f>
              <c:strCache>
                <c:ptCount val="1"/>
                <c:pt idx="0">
                  <c:v>Gasoline</c:v>
                </c:pt>
              </c:strCache>
            </c:strRef>
          </c:tx>
          <c:spPr>
            <a:ln w="28575" cap="rnd">
              <a:solidFill>
                <a:schemeClr val="accent1"/>
              </a:solidFill>
              <a:round/>
            </a:ln>
            <a:effectLst/>
          </c:spPr>
          <c:marker>
            <c:symbol val="none"/>
          </c:marker>
          <c:cat>
            <c:numRef>
              <c:f>Constants_out!$R$19:$R$38</c:f>
              <c:numCache>
                <c:formatCode>General</c:formatCode>
                <c:ptCount val="20"/>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numCache>
            </c:numRef>
          </c:cat>
          <c:val>
            <c:numRef>
              <c:f>Constants_out!$S$19:$S$38</c:f>
              <c:numCache>
                <c:formatCode>0.00</c:formatCode>
                <c:ptCount val="20"/>
                <c:pt idx="0">
                  <c:v>98.37</c:v>
                </c:pt>
                <c:pt idx="1">
                  <c:v>98.13</c:v>
                </c:pt>
                <c:pt idx="2">
                  <c:v>97.66</c:v>
                </c:pt>
                <c:pt idx="3">
                  <c:v>96.59</c:v>
                </c:pt>
                <c:pt idx="4">
                  <c:v>95.61</c:v>
                </c:pt>
                <c:pt idx="5">
                  <c:v>94.63</c:v>
                </c:pt>
                <c:pt idx="6">
                  <c:v>93.15</c:v>
                </c:pt>
                <c:pt idx="7">
                  <c:v>91.68</c:v>
                </c:pt>
                <c:pt idx="8">
                  <c:v>90.21</c:v>
                </c:pt>
                <c:pt idx="9">
                  <c:v>88.25</c:v>
                </c:pt>
                <c:pt idx="10">
                  <c:v>84.92</c:v>
                </c:pt>
                <c:pt idx="11">
                  <c:v>82.99</c:v>
                </c:pt>
                <c:pt idx="12">
                  <c:v>81.06</c:v>
                </c:pt>
                <c:pt idx="13">
                  <c:v>79.13</c:v>
                </c:pt>
                <c:pt idx="14">
                  <c:v>77.2</c:v>
                </c:pt>
                <c:pt idx="15">
                  <c:v>73.92</c:v>
                </c:pt>
                <c:pt idx="16">
                  <c:v>70.64</c:v>
                </c:pt>
                <c:pt idx="17">
                  <c:v>67.36</c:v>
                </c:pt>
                <c:pt idx="18">
                  <c:v>64.08</c:v>
                </c:pt>
                <c:pt idx="19">
                  <c:v>60.8</c:v>
                </c:pt>
              </c:numCache>
            </c:numRef>
          </c:val>
          <c:smooth val="0"/>
          <c:extLst>
            <c:ext xmlns:c16="http://schemas.microsoft.com/office/drawing/2014/chart" uri="{C3380CC4-5D6E-409C-BE32-E72D297353CC}">
              <c16:uniqueId val="{00000000-904F-4B94-89B5-0F363981A3EB}"/>
            </c:ext>
          </c:extLst>
        </c:ser>
        <c:ser>
          <c:idx val="1"/>
          <c:order val="1"/>
          <c:tx>
            <c:strRef>
              <c:f>Constants_out!$T$18</c:f>
              <c:strCache>
                <c:ptCount val="1"/>
                <c:pt idx="0">
                  <c:v>Diesel</c:v>
                </c:pt>
              </c:strCache>
            </c:strRef>
          </c:tx>
          <c:spPr>
            <a:ln w="28575" cap="rnd">
              <a:solidFill>
                <a:schemeClr val="accent2"/>
              </a:solidFill>
              <a:round/>
            </a:ln>
            <a:effectLst/>
          </c:spPr>
          <c:marker>
            <c:symbol val="none"/>
          </c:marker>
          <c:cat>
            <c:numRef>
              <c:f>Constants_out!$R$19:$R$38</c:f>
              <c:numCache>
                <c:formatCode>General</c:formatCode>
                <c:ptCount val="20"/>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numCache>
            </c:numRef>
          </c:cat>
          <c:val>
            <c:numRef>
              <c:f>Constants_out!$T$19:$T$38</c:f>
              <c:numCache>
                <c:formatCode>0.00</c:formatCode>
                <c:ptCount val="20"/>
                <c:pt idx="0">
                  <c:v>99.36</c:v>
                </c:pt>
                <c:pt idx="1">
                  <c:v>99.14</c:v>
                </c:pt>
                <c:pt idx="2">
                  <c:v>98.61</c:v>
                </c:pt>
                <c:pt idx="3">
                  <c:v>97.26</c:v>
                </c:pt>
                <c:pt idx="4">
                  <c:v>96.27</c:v>
                </c:pt>
                <c:pt idx="5">
                  <c:v>95.29</c:v>
                </c:pt>
                <c:pt idx="6">
                  <c:v>93.81</c:v>
                </c:pt>
                <c:pt idx="7">
                  <c:v>92.32</c:v>
                </c:pt>
                <c:pt idx="8">
                  <c:v>90.84</c:v>
                </c:pt>
                <c:pt idx="9">
                  <c:v>88.87</c:v>
                </c:pt>
                <c:pt idx="10">
                  <c:v>90.4</c:v>
                </c:pt>
                <c:pt idx="11">
                  <c:v>88.34</c:v>
                </c:pt>
                <c:pt idx="12">
                  <c:v>86.29</c:v>
                </c:pt>
                <c:pt idx="13">
                  <c:v>84.24</c:v>
                </c:pt>
                <c:pt idx="14">
                  <c:v>82.18</c:v>
                </c:pt>
                <c:pt idx="15">
                  <c:v>78.69</c:v>
                </c:pt>
                <c:pt idx="16">
                  <c:v>75.2</c:v>
                </c:pt>
                <c:pt idx="17">
                  <c:v>71.7</c:v>
                </c:pt>
                <c:pt idx="18">
                  <c:v>68.209999999999994</c:v>
                </c:pt>
                <c:pt idx="19">
                  <c:v>64.72</c:v>
                </c:pt>
              </c:numCache>
            </c:numRef>
          </c:val>
          <c:smooth val="0"/>
          <c:extLst>
            <c:ext xmlns:c16="http://schemas.microsoft.com/office/drawing/2014/chart" uri="{C3380CC4-5D6E-409C-BE32-E72D297353CC}">
              <c16:uniqueId val="{00000001-904F-4B94-89B5-0F363981A3EB}"/>
            </c:ext>
          </c:extLst>
        </c:ser>
        <c:dLbls>
          <c:showLegendKey val="0"/>
          <c:showVal val="0"/>
          <c:showCatName val="0"/>
          <c:showSerName val="0"/>
          <c:showPercent val="0"/>
          <c:showBubbleSize val="0"/>
        </c:dLbls>
        <c:smooth val="0"/>
        <c:axId val="1614869711"/>
        <c:axId val="1614872623"/>
      </c:lineChart>
      <c:catAx>
        <c:axId val="1614869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4872623"/>
        <c:crosses val="autoZero"/>
        <c:auto val="1"/>
        <c:lblAlgn val="ctr"/>
        <c:lblOffset val="100"/>
        <c:noMultiLvlLbl val="0"/>
      </c:catAx>
      <c:valAx>
        <c:axId val="1614872623"/>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4869711"/>
        <c:crosses val="autoZero"/>
        <c:crossBetween val="between"/>
      </c:valAx>
      <c:spPr>
        <a:noFill/>
        <a:ln>
          <a:noFill/>
        </a:ln>
        <a:effectLst/>
      </c:spPr>
    </c:plotArea>
    <c:legend>
      <c:legendPos val="b"/>
      <c:layout>
        <c:manualLayout>
          <c:xMode val="edge"/>
          <c:yMode val="edge"/>
          <c:x val="0.54432174103237096"/>
          <c:y val="0.19039297171186931"/>
          <c:w val="0.33807762139613157"/>
          <c:h val="6.7164649194970047E-2"/>
        </c:manualLayout>
      </c:layout>
      <c:overlay val="0"/>
      <c:spPr>
        <a:solidFill>
          <a:schemeClr val="bg1"/>
        </a:solidFill>
        <a:ln>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Total Diesel</a:t>
            </a:r>
          </a:p>
          <a:p>
            <a:pPr>
              <a:defRPr/>
            </a:pPr>
            <a:r>
              <a:rPr lang="en-US" sz="1100" i="1"/>
              <a:t>(CFP Reported, quarterly)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Forecast_Main!$H$85:$AY$85</c:f>
              <c:numCache>
                <c:formatCode>#,##0</c:formatCode>
                <c:ptCount val="44"/>
                <c:pt idx="0">
                  <c:v>200546412.40000001</c:v>
                </c:pt>
                <c:pt idx="1">
                  <c:v>158442194</c:v>
                </c:pt>
                <c:pt idx="2">
                  <c:v>184357269.94999999</c:v>
                </c:pt>
                <c:pt idx="3">
                  <c:v>165547124.84999999</c:v>
                </c:pt>
                <c:pt idx="4">
                  <c:v>140610590</c:v>
                </c:pt>
                <c:pt idx="5">
                  <c:v>185101028.80000001</c:v>
                </c:pt>
                <c:pt idx="6">
                  <c:v>193155530.75</c:v>
                </c:pt>
                <c:pt idx="7">
                  <c:v>163876928.19999999</c:v>
                </c:pt>
                <c:pt idx="8">
                  <c:v>161928057.75</c:v>
                </c:pt>
                <c:pt idx="9">
                  <c:v>181644437.69999999</c:v>
                </c:pt>
                <c:pt idx="10">
                  <c:v>204800544.40000001</c:v>
                </c:pt>
                <c:pt idx="11">
                  <c:v>168174070.40000001</c:v>
                </c:pt>
                <c:pt idx="12">
                  <c:v>174790251.40000001</c:v>
                </c:pt>
                <c:pt idx="13">
                  <c:v>169817565.84999999</c:v>
                </c:pt>
                <c:pt idx="14">
                  <c:v>191951959.25</c:v>
                </c:pt>
                <c:pt idx="15">
                  <c:v>183194227.59999999</c:v>
                </c:pt>
                <c:pt idx="16">
                  <c:v>141353594.59999999</c:v>
                </c:pt>
                <c:pt idx="17">
                  <c:v>178737100.59999999</c:v>
                </c:pt>
                <c:pt idx="18">
                  <c:v>170267034.94999999</c:v>
                </c:pt>
                <c:pt idx="19">
                  <c:v>173448936.25</c:v>
                </c:pt>
                <c:pt idx="20">
                  <c:v>182402200.34999999</c:v>
                </c:pt>
                <c:pt idx="21">
                  <c:v>183691857.59999999</c:v>
                </c:pt>
                <c:pt idx="22">
                  <c:v>201033979.90000001</c:v>
                </c:pt>
                <c:pt idx="23">
                  <c:v>168346070.79999998</c:v>
                </c:pt>
                <c:pt idx="24">
                  <c:v>197844583.04999998</c:v>
                </c:pt>
                <c:pt idx="25">
                  <c:v>177172619.14999998</c:v>
                </c:pt>
                <c:pt idx="26">
                  <c:v>193977665.04999998</c:v>
                </c:pt>
                <c:pt idx="27">
                  <c:v>186248140.09999999</c:v>
                </c:pt>
                <c:pt idx="28">
                  <c:v>150571439.5</c:v>
                </c:pt>
                <c:pt idx="29">
                  <c:v>139227667.90000001</c:v>
                </c:pt>
                <c:pt idx="30">
                  <c:v>163921471.59999999</c:v>
                </c:pt>
                <c:pt idx="31">
                  <c:v>135201421.15000001</c:v>
                </c:pt>
                <c:pt idx="32">
                  <c:v>121986907.3</c:v>
                </c:pt>
                <c:pt idx="33">
                  <c:v>123163021.30000001</c:v>
                </c:pt>
                <c:pt idx="34">
                  <c:v>161020607.29999998</c:v>
                </c:pt>
                <c:pt idx="35">
                  <c:v>175749037.90000001</c:v>
                </c:pt>
                <c:pt idx="36">
                  <c:v>134231731.70000002</c:v>
                </c:pt>
                <c:pt idx="37">
                  <c:v>130270056.10167551</c:v>
                </c:pt>
                <c:pt idx="38">
                  <c:v>150564998.41184545</c:v>
                </c:pt>
                <c:pt idx="39">
                  <c:v>159213708.32294858</c:v>
                </c:pt>
                <c:pt idx="40">
                  <c:v>100272432.40506962</c:v>
                </c:pt>
                <c:pt idx="41">
                  <c:v>118724344.49445996</c:v>
                </c:pt>
                <c:pt idx="42">
                  <c:v>137681382.92375189</c:v>
                </c:pt>
                <c:pt idx="43">
                  <c:v>145715300.92461133</c:v>
                </c:pt>
              </c:numCache>
            </c:numRef>
          </c:val>
          <c:smooth val="0"/>
          <c:extLst>
            <c:ext xmlns:c16="http://schemas.microsoft.com/office/drawing/2014/chart" uri="{C3380CC4-5D6E-409C-BE32-E72D297353CC}">
              <c16:uniqueId val="{00000000-C410-4083-82EA-527008730AA6}"/>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
        <c:majorTimeUnit val="years"/>
      </c:dateAx>
      <c:valAx>
        <c:axId val="399670200"/>
        <c:scaling>
          <c:orientation val="minMax"/>
          <c:min val="1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dispUnits>
          <c:builtInUnit val="millions"/>
          <c:dispUnitsLbl>
            <c:layout>
              <c:manualLayout>
                <c:xMode val="edge"/>
                <c:yMode val="edge"/>
                <c:x val="1.6666580544640614E-2"/>
                <c:y val="0.21207254894573585"/>
              </c:manualLayout>
            </c:layout>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Millions of Gallons</a:t>
                  </a:r>
                </a:p>
              </c:rich>
            </c:tx>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Motor Gasoline</a:t>
            </a:r>
          </a:p>
          <a:p>
            <a:pPr>
              <a:defRPr/>
            </a:pPr>
            <a:r>
              <a:rPr lang="en-US" sz="1100" i="1"/>
              <a:t>(CFP Reported, quarterly)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Forecast_Main!$H$82:$AY$82</c:f>
              <c:numCache>
                <c:formatCode>#,##0</c:formatCode>
                <c:ptCount val="44"/>
                <c:pt idx="0">
                  <c:v>432288642</c:v>
                </c:pt>
                <c:pt idx="1">
                  <c:v>369245735</c:v>
                </c:pt>
                <c:pt idx="2">
                  <c:v>426111111</c:v>
                </c:pt>
                <c:pt idx="3">
                  <c:v>374941421</c:v>
                </c:pt>
                <c:pt idx="4">
                  <c:v>317609932</c:v>
                </c:pt>
                <c:pt idx="5">
                  <c:v>410970093</c:v>
                </c:pt>
                <c:pt idx="6">
                  <c:v>472280556</c:v>
                </c:pt>
                <c:pt idx="7">
                  <c:v>417771717</c:v>
                </c:pt>
                <c:pt idx="8">
                  <c:v>380533629</c:v>
                </c:pt>
                <c:pt idx="9">
                  <c:v>455364693</c:v>
                </c:pt>
                <c:pt idx="10">
                  <c:v>453935179</c:v>
                </c:pt>
                <c:pt idx="11">
                  <c:v>422300068</c:v>
                </c:pt>
                <c:pt idx="12">
                  <c:v>411112992</c:v>
                </c:pt>
                <c:pt idx="13">
                  <c:v>438400205</c:v>
                </c:pt>
                <c:pt idx="14">
                  <c:v>444006363</c:v>
                </c:pt>
                <c:pt idx="15">
                  <c:v>445924714</c:v>
                </c:pt>
                <c:pt idx="16">
                  <c:v>362827742</c:v>
                </c:pt>
                <c:pt idx="17">
                  <c:v>284939788</c:v>
                </c:pt>
                <c:pt idx="18">
                  <c:v>419026243</c:v>
                </c:pt>
                <c:pt idx="19">
                  <c:v>340748106</c:v>
                </c:pt>
                <c:pt idx="20">
                  <c:v>359183186</c:v>
                </c:pt>
                <c:pt idx="21">
                  <c:v>365190401</c:v>
                </c:pt>
                <c:pt idx="22">
                  <c:v>423625739</c:v>
                </c:pt>
                <c:pt idx="23">
                  <c:v>358193038</c:v>
                </c:pt>
                <c:pt idx="24">
                  <c:v>350003633</c:v>
                </c:pt>
                <c:pt idx="25">
                  <c:v>369585636</c:v>
                </c:pt>
                <c:pt idx="26">
                  <c:v>395187882</c:v>
                </c:pt>
                <c:pt idx="27">
                  <c:v>394064110</c:v>
                </c:pt>
                <c:pt idx="28">
                  <c:v>343137065</c:v>
                </c:pt>
                <c:pt idx="29">
                  <c:v>356901246</c:v>
                </c:pt>
                <c:pt idx="30">
                  <c:v>410072020</c:v>
                </c:pt>
                <c:pt idx="31">
                  <c:v>370059376</c:v>
                </c:pt>
                <c:pt idx="32">
                  <c:v>353475561</c:v>
                </c:pt>
                <c:pt idx="33">
                  <c:v>402190884</c:v>
                </c:pt>
                <c:pt idx="34">
                  <c:v>374067630</c:v>
                </c:pt>
                <c:pt idx="35">
                  <c:v>372113281</c:v>
                </c:pt>
                <c:pt idx="36">
                  <c:v>355432598</c:v>
                </c:pt>
                <c:pt idx="37">
                  <c:v>404526847.18352062</c:v>
                </c:pt>
                <c:pt idx="38">
                  <c:v>377022811.85681927</c:v>
                </c:pt>
                <c:pt idx="39">
                  <c:v>375317153.2550543</c:v>
                </c:pt>
                <c:pt idx="40">
                  <c:v>351792562.82342345</c:v>
                </c:pt>
                <c:pt idx="41">
                  <c:v>400648343.09510404</c:v>
                </c:pt>
                <c:pt idx="42">
                  <c:v>371177270.17370301</c:v>
                </c:pt>
                <c:pt idx="43">
                  <c:v>368011925.42308104</c:v>
                </c:pt>
              </c:numCache>
            </c:numRef>
          </c:val>
          <c:smooth val="0"/>
          <c:extLst>
            <c:ext xmlns:c16="http://schemas.microsoft.com/office/drawing/2014/chart" uri="{C3380CC4-5D6E-409C-BE32-E72D297353CC}">
              <c16:uniqueId val="{00000000-FE8F-4209-BA48-4D2E69786588}"/>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
        <c:majorTimeUnit val="years"/>
      </c:dateAx>
      <c:valAx>
        <c:axId val="399670200"/>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dispUnits>
          <c:builtInUnit val="millions"/>
          <c:dispUnitsLbl>
            <c:layout>
              <c:manualLayout>
                <c:xMode val="edge"/>
                <c:yMode val="edge"/>
                <c:x val="1.9393322387995498E-2"/>
                <c:y val="0.20176097904029938"/>
              </c:manualLayout>
            </c:layout>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Millions of Gallons</a:t>
                  </a:r>
                </a:p>
              </c:rich>
            </c:tx>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600" b="1"/>
              <a:t>Ethanol</a:t>
            </a:r>
            <a:endParaRPr lang="en-US" b="1"/>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100" b="0" i="1" u="none" strike="noStrike" kern="1200" spc="0" baseline="0">
                <a:solidFill>
                  <a:sysClr val="windowText" lastClr="000000">
                    <a:lumMod val="65000"/>
                    <a:lumOff val="35000"/>
                  </a:sysClr>
                </a:solidFill>
              </a:rPr>
              <a:t>(CFP Reported, quarterly)</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Forecast_Main!$H$80:$AY$80</c:f>
              <c:numCache>
                <c:formatCode>#,##0</c:formatCode>
                <c:ptCount val="44"/>
                <c:pt idx="0">
                  <c:v>50904982.299999997</c:v>
                </c:pt>
                <c:pt idx="1">
                  <c:v>41169772.600000001</c:v>
                </c:pt>
                <c:pt idx="2">
                  <c:v>46844753.899999999</c:v>
                </c:pt>
                <c:pt idx="3">
                  <c:v>38687842.100000001</c:v>
                </c:pt>
                <c:pt idx="4">
                  <c:v>39795000.899999999</c:v>
                </c:pt>
                <c:pt idx="5">
                  <c:v>42848673.5</c:v>
                </c:pt>
                <c:pt idx="6">
                  <c:v>49152301.399999999</c:v>
                </c:pt>
                <c:pt idx="7">
                  <c:v>42482357.700000003</c:v>
                </c:pt>
                <c:pt idx="8">
                  <c:v>41973456.899999999</c:v>
                </c:pt>
                <c:pt idx="9">
                  <c:v>40297504.899999999</c:v>
                </c:pt>
                <c:pt idx="10">
                  <c:v>46877337.299999997</c:v>
                </c:pt>
                <c:pt idx="11">
                  <c:v>43494023.100000001</c:v>
                </c:pt>
                <c:pt idx="12">
                  <c:v>38612516.200000003</c:v>
                </c:pt>
                <c:pt idx="13">
                  <c:v>44486189.600000001</c:v>
                </c:pt>
                <c:pt idx="14">
                  <c:v>47299348.899999999</c:v>
                </c:pt>
                <c:pt idx="15">
                  <c:v>43634242.200000003</c:v>
                </c:pt>
                <c:pt idx="16">
                  <c:v>36182089.5</c:v>
                </c:pt>
                <c:pt idx="17">
                  <c:v>32346429.199999999</c:v>
                </c:pt>
                <c:pt idx="18">
                  <c:v>39124094.899999999</c:v>
                </c:pt>
                <c:pt idx="19">
                  <c:v>34133979</c:v>
                </c:pt>
                <c:pt idx="20">
                  <c:v>31327502.699999999</c:v>
                </c:pt>
                <c:pt idx="21">
                  <c:v>43624053.799999997</c:v>
                </c:pt>
                <c:pt idx="22">
                  <c:v>43993074.799999997</c:v>
                </c:pt>
                <c:pt idx="23">
                  <c:v>37792888</c:v>
                </c:pt>
                <c:pt idx="24">
                  <c:v>34402289.200000003</c:v>
                </c:pt>
                <c:pt idx="25">
                  <c:v>40800094.399999999</c:v>
                </c:pt>
                <c:pt idx="26">
                  <c:v>40528693.100000001</c:v>
                </c:pt>
                <c:pt idx="27">
                  <c:v>33875243.299999997</c:v>
                </c:pt>
                <c:pt idx="28">
                  <c:v>37093421.600000001</c:v>
                </c:pt>
                <c:pt idx="29">
                  <c:v>38807948.299999997</c:v>
                </c:pt>
                <c:pt idx="30">
                  <c:v>40017331.399999999</c:v>
                </c:pt>
                <c:pt idx="31">
                  <c:v>38857720.299999997</c:v>
                </c:pt>
                <c:pt idx="32">
                  <c:v>32292849.100000001</c:v>
                </c:pt>
                <c:pt idx="33">
                  <c:v>38642300.100000001</c:v>
                </c:pt>
                <c:pt idx="34">
                  <c:v>43052614.700000003</c:v>
                </c:pt>
                <c:pt idx="35">
                  <c:v>36008962.5</c:v>
                </c:pt>
                <c:pt idx="36">
                  <c:v>34128862.200000003</c:v>
                </c:pt>
                <c:pt idx="37">
                  <c:v>41261738.412719101</c:v>
                </c:pt>
                <c:pt idx="38">
                  <c:v>38456326.809395567</c:v>
                </c:pt>
                <c:pt idx="39">
                  <c:v>38282349.632015534</c:v>
                </c:pt>
                <c:pt idx="40">
                  <c:v>35882841.407989189</c:v>
                </c:pt>
                <c:pt idx="41">
                  <c:v>40866130.995700613</c:v>
                </c:pt>
                <c:pt idx="42">
                  <c:v>37860081.557717703</c:v>
                </c:pt>
                <c:pt idx="43">
                  <c:v>37537216.393154263</c:v>
                </c:pt>
              </c:numCache>
            </c:numRef>
          </c:val>
          <c:smooth val="0"/>
          <c:extLst>
            <c:ext xmlns:c16="http://schemas.microsoft.com/office/drawing/2014/chart" uri="{C3380CC4-5D6E-409C-BE32-E72D297353CC}">
              <c16:uniqueId val="{00000000-470A-4ABD-8E8B-2F4F1110BB69}"/>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solidFill>
            <a:schemeClr val="bg1"/>
          </a:solid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
        <c:majorTimeUnit val="years"/>
      </c:dateAx>
      <c:valAx>
        <c:axId val="399670200"/>
        <c:scaling>
          <c:orientation val="minMax"/>
          <c:min val="30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Millions of Gallone</a:t>
                </a:r>
              </a:p>
            </c:rich>
          </c:tx>
          <c:layout>
            <c:manualLayout>
              <c:xMode val="edge"/>
              <c:yMode val="edge"/>
              <c:x val="1.6359948146725561E-2"/>
              <c:y val="0.1987137223875724"/>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low"/>
        <c:spPr>
          <a:noFill/>
          <a:ln w="25400">
            <a:solidFill>
              <a:schemeClr val="tx1"/>
            </a:solidFill>
          </a:ln>
          <a:effectLst/>
        </c:spPr>
        <c:txPr>
          <a:bodyPr rot="-60000000" spcFirstLastPara="1" vertOverflow="ellipsis" vert="horz" wrap="square" anchor="t" anchorCtr="0"/>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dispUnits>
          <c:builtInUnit val="millions"/>
        </c:dispUnits>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Biodiesel/Renewable Diesel Blend Rate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022426146617086"/>
          <c:y val="0.14058634974452031"/>
          <c:w val="0.84214695878692158"/>
          <c:h val="0.65336180042485781"/>
        </c:manualLayout>
      </c:layout>
      <c:barChart>
        <c:barDir val="col"/>
        <c:grouping val="stacked"/>
        <c:varyColors val="0"/>
        <c:ser>
          <c:idx val="0"/>
          <c:order val="0"/>
          <c:tx>
            <c:strRef>
              <c:f>Forecast_Main!$G$86</c:f>
              <c:strCache>
                <c:ptCount val="1"/>
                <c:pt idx="0">
                  <c:v>Biodiesel</c:v>
                </c:pt>
              </c:strCache>
            </c:strRef>
          </c:tx>
          <c:spPr>
            <a:solidFill>
              <a:schemeClr val="accent1"/>
            </a:solidFill>
            <a:ln>
              <a:noFill/>
            </a:ln>
            <a:effectLst/>
          </c:spPr>
          <c:invertIfNegative val="0"/>
          <c:cat>
            <c:strRef>
              <c:f>Forecast_Main!$H$77:$AY$77</c:f>
              <c:strCache>
                <c:ptCount val="44"/>
                <c:pt idx="0">
                  <c:v>2016 Q1</c:v>
                </c:pt>
                <c:pt idx="1">
                  <c:v>2016 Q2</c:v>
                </c:pt>
                <c:pt idx="2">
                  <c:v>2016 Q3</c:v>
                </c:pt>
                <c:pt idx="3">
                  <c:v>2016 Q4</c:v>
                </c:pt>
                <c:pt idx="4">
                  <c:v>2017 Q1</c:v>
                </c:pt>
                <c:pt idx="5">
                  <c:v>2017 Q2</c:v>
                </c:pt>
                <c:pt idx="6">
                  <c:v>2017 Q3</c:v>
                </c:pt>
                <c:pt idx="7">
                  <c:v>2017 Q4</c:v>
                </c:pt>
                <c:pt idx="8">
                  <c:v>2018 Q1</c:v>
                </c:pt>
                <c:pt idx="9">
                  <c:v>2018 Q2</c:v>
                </c:pt>
                <c:pt idx="10">
                  <c:v>2018 Q3</c:v>
                </c:pt>
                <c:pt idx="11">
                  <c:v>2018 Q4</c:v>
                </c:pt>
                <c:pt idx="12">
                  <c:v>2019 Q1</c:v>
                </c:pt>
                <c:pt idx="13">
                  <c:v>2019 Q2</c:v>
                </c:pt>
                <c:pt idx="14">
                  <c:v>2019 Q3</c:v>
                </c:pt>
                <c:pt idx="15">
                  <c:v>2019 Q4</c:v>
                </c:pt>
                <c:pt idx="16">
                  <c:v>2020 Q1</c:v>
                </c:pt>
                <c:pt idx="17">
                  <c:v>2020 Q2</c:v>
                </c:pt>
                <c:pt idx="18">
                  <c:v>2020 Q3</c:v>
                </c:pt>
                <c:pt idx="19">
                  <c:v>2020 Q4</c:v>
                </c:pt>
                <c:pt idx="20">
                  <c:v>2021 Q1</c:v>
                </c:pt>
                <c:pt idx="21">
                  <c:v>2021 Q2</c:v>
                </c:pt>
                <c:pt idx="22">
                  <c:v>2021 Q3</c:v>
                </c:pt>
                <c:pt idx="23">
                  <c:v>2021 Q4</c:v>
                </c:pt>
                <c:pt idx="24">
                  <c:v>2022 Q1</c:v>
                </c:pt>
                <c:pt idx="25">
                  <c:v>2022 Q2</c:v>
                </c:pt>
                <c:pt idx="26">
                  <c:v>2022 Q3</c:v>
                </c:pt>
                <c:pt idx="27">
                  <c:v>2022 Q4</c:v>
                </c:pt>
                <c:pt idx="28">
                  <c:v>2023 Q1</c:v>
                </c:pt>
                <c:pt idx="29">
                  <c:v>2023 Q2</c:v>
                </c:pt>
                <c:pt idx="30">
                  <c:v>2023 Q3</c:v>
                </c:pt>
                <c:pt idx="31">
                  <c:v>2023 Q4</c:v>
                </c:pt>
                <c:pt idx="32">
                  <c:v>2024 Q1</c:v>
                </c:pt>
                <c:pt idx="33">
                  <c:v>2024 Q2</c:v>
                </c:pt>
                <c:pt idx="34">
                  <c:v>2024 Q3</c:v>
                </c:pt>
                <c:pt idx="35">
                  <c:v>2024 Q4</c:v>
                </c:pt>
                <c:pt idx="36">
                  <c:v>2025 Q1</c:v>
                </c:pt>
                <c:pt idx="37">
                  <c:v>2025 Q2</c:v>
                </c:pt>
                <c:pt idx="38">
                  <c:v>2025 Q3</c:v>
                </c:pt>
                <c:pt idx="39">
                  <c:v>2025 Q4</c:v>
                </c:pt>
                <c:pt idx="40">
                  <c:v>2026 Q1</c:v>
                </c:pt>
                <c:pt idx="41">
                  <c:v>2026 Q2</c:v>
                </c:pt>
                <c:pt idx="42">
                  <c:v>2026 Q3</c:v>
                </c:pt>
                <c:pt idx="43">
                  <c:v>2026 Q4</c:v>
                </c:pt>
              </c:strCache>
            </c:strRef>
          </c:cat>
          <c:val>
            <c:numRef>
              <c:f>Forecast_Main!$H$87:$AY$87</c:f>
              <c:numCache>
                <c:formatCode>0.0%</c:formatCode>
                <c:ptCount val="44"/>
                <c:pt idx="0">
                  <c:v>5.5869384181331347E-2</c:v>
                </c:pt>
                <c:pt idx="1">
                  <c:v>6.5833092061322054E-2</c:v>
                </c:pt>
                <c:pt idx="2">
                  <c:v>6.5930567152852546E-2</c:v>
                </c:pt>
                <c:pt idx="3">
                  <c:v>6.4896925449701173E-2</c:v>
                </c:pt>
                <c:pt idx="4">
                  <c:v>6.0812781805495791E-2</c:v>
                </c:pt>
                <c:pt idx="5">
                  <c:v>6.7506535503566889E-2</c:v>
                </c:pt>
                <c:pt idx="6">
                  <c:v>6.969851875392663E-2</c:v>
                </c:pt>
                <c:pt idx="7">
                  <c:v>7.9642577236442066E-2</c:v>
                </c:pt>
                <c:pt idx="8">
                  <c:v>6.2385752232972005E-2</c:v>
                </c:pt>
                <c:pt idx="9">
                  <c:v>6.7023254654075215E-2</c:v>
                </c:pt>
                <c:pt idx="10">
                  <c:v>6.7111751966367289E-2</c:v>
                </c:pt>
                <c:pt idx="11">
                  <c:v>7.1738307743542812E-2</c:v>
                </c:pt>
                <c:pt idx="12">
                  <c:v>6.0750667673647646E-2</c:v>
                </c:pt>
                <c:pt idx="13">
                  <c:v>8.8439150430515756E-2</c:v>
                </c:pt>
                <c:pt idx="14">
                  <c:v>7.6943815626543066E-2</c:v>
                </c:pt>
                <c:pt idx="15">
                  <c:v>7.5432523813665373E-2</c:v>
                </c:pt>
                <c:pt idx="16">
                  <c:v>9.3779538400073109E-2</c:v>
                </c:pt>
                <c:pt idx="17">
                  <c:v>8.0634174422255386E-2</c:v>
                </c:pt>
                <c:pt idx="18">
                  <c:v>9.6796640191794861E-2</c:v>
                </c:pt>
                <c:pt idx="19">
                  <c:v>9.5216298200619845E-2</c:v>
                </c:pt>
                <c:pt idx="20">
                  <c:v>7.4214396665036764E-2</c:v>
                </c:pt>
                <c:pt idx="21">
                  <c:v>9.9371420744167396E-2</c:v>
                </c:pt>
                <c:pt idx="22">
                  <c:v>9.3275063275708545E-2</c:v>
                </c:pt>
                <c:pt idx="23">
                  <c:v>0.1033485066799517</c:v>
                </c:pt>
                <c:pt idx="24">
                  <c:v>7.7344763723640395E-2</c:v>
                </c:pt>
                <c:pt idx="25">
                  <c:v>0.1156813632840523</c:v>
                </c:pt>
                <c:pt idx="26">
                  <c:v>7.6213417906648637E-2</c:v>
                </c:pt>
                <c:pt idx="27">
                  <c:v>0.1020578537953315</c:v>
                </c:pt>
                <c:pt idx="28" formatCode="0.00%">
                  <c:v>9.2345447847767909E-2</c:v>
                </c:pt>
                <c:pt idx="29" formatCode="0.00%">
                  <c:v>0.10337090457601011</c:v>
                </c:pt>
                <c:pt idx="30" formatCode="0.00%">
                  <c:v>9.3087860213815501E-2</c:v>
                </c:pt>
                <c:pt idx="31" formatCode="0.00%">
                  <c:v>0.10961419333997735</c:v>
                </c:pt>
                <c:pt idx="32" formatCode="0.00%">
                  <c:v>8.2992443026628018E-2</c:v>
                </c:pt>
                <c:pt idx="33" formatCode="0.00%">
                  <c:v>0.10368620868279572</c:v>
                </c:pt>
                <c:pt idx="34" formatCode="0.00%">
                  <c:v>9.906848080389305E-2</c:v>
                </c:pt>
                <c:pt idx="35" formatCode="0.00%">
                  <c:v>9.2807386929358762E-2</c:v>
                </c:pt>
                <c:pt idx="36" formatCode="0.00%">
                  <c:v>8.3841605408341763E-2</c:v>
                </c:pt>
                <c:pt idx="37">
                  <c:v>0.105</c:v>
                </c:pt>
                <c:pt idx="38">
                  <c:v>0.105</c:v>
                </c:pt>
                <c:pt idx="39">
                  <c:v>0.105</c:v>
                </c:pt>
                <c:pt idx="40">
                  <c:v>0.115</c:v>
                </c:pt>
                <c:pt idx="41">
                  <c:v>0.115</c:v>
                </c:pt>
                <c:pt idx="42">
                  <c:v>0.115</c:v>
                </c:pt>
                <c:pt idx="43">
                  <c:v>0.115</c:v>
                </c:pt>
              </c:numCache>
            </c:numRef>
          </c:val>
          <c:extLst>
            <c:ext xmlns:c16="http://schemas.microsoft.com/office/drawing/2014/chart" uri="{C3380CC4-5D6E-409C-BE32-E72D297353CC}">
              <c16:uniqueId val="{00000000-7EED-4E18-AA45-C8DAB3DF3365}"/>
            </c:ext>
          </c:extLst>
        </c:ser>
        <c:ser>
          <c:idx val="1"/>
          <c:order val="1"/>
          <c:tx>
            <c:strRef>
              <c:f>Forecast_Main!$G$88</c:f>
              <c:strCache>
                <c:ptCount val="1"/>
                <c:pt idx="0">
                  <c:v>Renewable Diesel</c:v>
                </c:pt>
              </c:strCache>
            </c:strRef>
          </c:tx>
          <c:spPr>
            <a:solidFill>
              <a:schemeClr val="accent6">
                <a:lumMod val="75000"/>
              </a:schemeClr>
            </a:solidFill>
            <a:ln>
              <a:noFill/>
            </a:ln>
            <a:effectLst/>
          </c:spPr>
          <c:invertIfNegative val="0"/>
          <c:cat>
            <c:strRef>
              <c:f>Forecast_Main!$H$77:$AY$77</c:f>
              <c:strCache>
                <c:ptCount val="44"/>
                <c:pt idx="0">
                  <c:v>2016 Q1</c:v>
                </c:pt>
                <c:pt idx="1">
                  <c:v>2016 Q2</c:v>
                </c:pt>
                <c:pt idx="2">
                  <c:v>2016 Q3</c:v>
                </c:pt>
                <c:pt idx="3">
                  <c:v>2016 Q4</c:v>
                </c:pt>
                <c:pt idx="4">
                  <c:v>2017 Q1</c:v>
                </c:pt>
                <c:pt idx="5">
                  <c:v>2017 Q2</c:v>
                </c:pt>
                <c:pt idx="6">
                  <c:v>2017 Q3</c:v>
                </c:pt>
                <c:pt idx="7">
                  <c:v>2017 Q4</c:v>
                </c:pt>
                <c:pt idx="8">
                  <c:v>2018 Q1</c:v>
                </c:pt>
                <c:pt idx="9">
                  <c:v>2018 Q2</c:v>
                </c:pt>
                <c:pt idx="10">
                  <c:v>2018 Q3</c:v>
                </c:pt>
                <c:pt idx="11">
                  <c:v>2018 Q4</c:v>
                </c:pt>
                <c:pt idx="12">
                  <c:v>2019 Q1</c:v>
                </c:pt>
                <c:pt idx="13">
                  <c:v>2019 Q2</c:v>
                </c:pt>
                <c:pt idx="14">
                  <c:v>2019 Q3</c:v>
                </c:pt>
                <c:pt idx="15">
                  <c:v>2019 Q4</c:v>
                </c:pt>
                <c:pt idx="16">
                  <c:v>2020 Q1</c:v>
                </c:pt>
                <c:pt idx="17">
                  <c:v>2020 Q2</c:v>
                </c:pt>
                <c:pt idx="18">
                  <c:v>2020 Q3</c:v>
                </c:pt>
                <c:pt idx="19">
                  <c:v>2020 Q4</c:v>
                </c:pt>
                <c:pt idx="20">
                  <c:v>2021 Q1</c:v>
                </c:pt>
                <c:pt idx="21">
                  <c:v>2021 Q2</c:v>
                </c:pt>
                <c:pt idx="22">
                  <c:v>2021 Q3</c:v>
                </c:pt>
                <c:pt idx="23">
                  <c:v>2021 Q4</c:v>
                </c:pt>
                <c:pt idx="24">
                  <c:v>2022 Q1</c:v>
                </c:pt>
                <c:pt idx="25">
                  <c:v>2022 Q2</c:v>
                </c:pt>
                <c:pt idx="26">
                  <c:v>2022 Q3</c:v>
                </c:pt>
                <c:pt idx="27">
                  <c:v>2022 Q4</c:v>
                </c:pt>
                <c:pt idx="28">
                  <c:v>2023 Q1</c:v>
                </c:pt>
                <c:pt idx="29">
                  <c:v>2023 Q2</c:v>
                </c:pt>
                <c:pt idx="30">
                  <c:v>2023 Q3</c:v>
                </c:pt>
                <c:pt idx="31">
                  <c:v>2023 Q4</c:v>
                </c:pt>
                <c:pt idx="32">
                  <c:v>2024 Q1</c:v>
                </c:pt>
                <c:pt idx="33">
                  <c:v>2024 Q2</c:v>
                </c:pt>
                <c:pt idx="34">
                  <c:v>2024 Q3</c:v>
                </c:pt>
                <c:pt idx="35">
                  <c:v>2024 Q4</c:v>
                </c:pt>
                <c:pt idx="36">
                  <c:v>2025 Q1</c:v>
                </c:pt>
                <c:pt idx="37">
                  <c:v>2025 Q2</c:v>
                </c:pt>
                <c:pt idx="38">
                  <c:v>2025 Q3</c:v>
                </c:pt>
                <c:pt idx="39">
                  <c:v>2025 Q4</c:v>
                </c:pt>
                <c:pt idx="40">
                  <c:v>2026 Q1</c:v>
                </c:pt>
                <c:pt idx="41">
                  <c:v>2026 Q2</c:v>
                </c:pt>
                <c:pt idx="42">
                  <c:v>2026 Q3</c:v>
                </c:pt>
                <c:pt idx="43">
                  <c:v>2026 Q4</c:v>
                </c:pt>
              </c:strCache>
            </c:strRef>
          </c:cat>
          <c:val>
            <c:numRef>
              <c:f>Forecast_Main!$H$89:$AY$89</c:f>
              <c:numCache>
                <c:formatCode>0.0%</c:formatCode>
                <c:ptCount val="44"/>
                <c:pt idx="0">
                  <c:v>0</c:v>
                </c:pt>
                <c:pt idx="1">
                  <c:v>0</c:v>
                </c:pt>
                <c:pt idx="2">
                  <c:v>0</c:v>
                </c:pt>
                <c:pt idx="3">
                  <c:v>0</c:v>
                </c:pt>
                <c:pt idx="4">
                  <c:v>0</c:v>
                </c:pt>
                <c:pt idx="5">
                  <c:v>0</c:v>
                </c:pt>
                <c:pt idx="6">
                  <c:v>0</c:v>
                </c:pt>
                <c:pt idx="7">
                  <c:v>1.9069555357184209E-3</c:v>
                </c:pt>
                <c:pt idx="8">
                  <c:v>1.7424259230957673E-3</c:v>
                </c:pt>
                <c:pt idx="9">
                  <c:v>1.0284677452838979E-3</c:v>
                </c:pt>
                <c:pt idx="10">
                  <c:v>1.0188139878315738E-3</c:v>
                </c:pt>
                <c:pt idx="11">
                  <c:v>2.650563039697287E-3</c:v>
                </c:pt>
                <c:pt idx="12">
                  <c:v>8.7405181541309028E-4</c:v>
                </c:pt>
                <c:pt idx="13">
                  <c:v>2.4617866139428376E-3</c:v>
                </c:pt>
                <c:pt idx="14">
                  <c:v>5.1693615561994463E-2</c:v>
                </c:pt>
                <c:pt idx="15">
                  <c:v>2.1214793040279803E-2</c:v>
                </c:pt>
                <c:pt idx="16">
                  <c:v>4.3547484961823056E-2</c:v>
                </c:pt>
                <c:pt idx="17">
                  <c:v>3.0792122704240855E-2</c:v>
                </c:pt>
                <c:pt idx="18">
                  <c:v>1.0798922997142825E-3</c:v>
                </c:pt>
                <c:pt idx="19">
                  <c:v>1.9893874957234346E-2</c:v>
                </c:pt>
                <c:pt idx="20">
                  <c:v>3.3544814977731534E-2</c:v>
                </c:pt>
                <c:pt idx="21">
                  <c:v>-2.2317338003072368E-3</c:v>
                </c:pt>
                <c:pt idx="22">
                  <c:v>1.4658728999141281E-2</c:v>
                </c:pt>
                <c:pt idx="23">
                  <c:v>3.5042224002667532E-4</c:v>
                </c:pt>
                <c:pt idx="24">
                  <c:v>6.1470877656368092E-2</c:v>
                </c:pt>
                <c:pt idx="25">
                  <c:v>2.4557276824085504E-2</c:v>
                </c:pt>
                <c:pt idx="26">
                  <c:v>3.8978742017665866E-2</c:v>
                </c:pt>
                <c:pt idx="27">
                  <c:v>8.2728054839988227E-2</c:v>
                </c:pt>
                <c:pt idx="28" formatCode="0.00%">
                  <c:v>0.12353611695728789</c:v>
                </c:pt>
                <c:pt idx="29" formatCode="0.00%">
                  <c:v>0.14310945136875386</c:v>
                </c:pt>
                <c:pt idx="30" formatCode="0.00%">
                  <c:v>0.17561458518274475</c:v>
                </c:pt>
                <c:pt idx="31" formatCode="0.00%">
                  <c:v>0.19017135606783131</c:v>
                </c:pt>
                <c:pt idx="32" formatCode="0.00%">
                  <c:v>0.28872815406520563</c:v>
                </c:pt>
                <c:pt idx="33" formatCode="0.00%">
                  <c:v>0.22433185042704176</c:v>
                </c:pt>
                <c:pt idx="34" formatCode="0.00%">
                  <c:v>0.16852454407167339</c:v>
                </c:pt>
                <c:pt idx="35" formatCode="0.00%">
                  <c:v>0.15300123257221374</c:v>
                </c:pt>
                <c:pt idx="36" formatCode="0.00%">
                  <c:v>7.8818319149307522E-2</c:v>
                </c:pt>
                <c:pt idx="37">
                  <c:v>0.2</c:v>
                </c:pt>
                <c:pt idx="38">
                  <c:v>0.2</c:v>
                </c:pt>
                <c:pt idx="39">
                  <c:v>0.2</c:v>
                </c:pt>
                <c:pt idx="40">
                  <c:v>0.25</c:v>
                </c:pt>
                <c:pt idx="41">
                  <c:v>0.25</c:v>
                </c:pt>
                <c:pt idx="42">
                  <c:v>0.25</c:v>
                </c:pt>
                <c:pt idx="43">
                  <c:v>0.25</c:v>
                </c:pt>
              </c:numCache>
            </c:numRef>
          </c:val>
          <c:extLst>
            <c:ext xmlns:c16="http://schemas.microsoft.com/office/drawing/2014/chart" uri="{C3380CC4-5D6E-409C-BE32-E72D297353CC}">
              <c16:uniqueId val="{00000002-7EED-4E18-AA45-C8DAB3DF3365}"/>
            </c:ext>
          </c:extLst>
        </c:ser>
        <c:dLbls>
          <c:showLegendKey val="0"/>
          <c:showVal val="0"/>
          <c:showCatName val="0"/>
          <c:showSerName val="0"/>
          <c:showPercent val="0"/>
          <c:showBubbleSize val="0"/>
        </c:dLbls>
        <c:gapWidth val="65"/>
        <c:overlap val="100"/>
        <c:axId val="1862246543"/>
        <c:axId val="1862248207"/>
      </c:barChart>
      <c:catAx>
        <c:axId val="1862246543"/>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34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62248207"/>
        <c:crosses val="autoZero"/>
        <c:auto val="1"/>
        <c:lblAlgn val="ctr"/>
        <c:lblOffset val="100"/>
        <c:tickLblSkip val="4"/>
        <c:noMultiLvlLbl val="0"/>
      </c:catAx>
      <c:valAx>
        <c:axId val="1862248207"/>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w="19050">
            <a:solidFill>
              <a:schemeClr val="bg1">
                <a:lumMod val="65000"/>
              </a:schemeClr>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62246543"/>
        <c:crossesAt val="36"/>
        <c:crossBetween val="between"/>
      </c:valAx>
      <c:spPr>
        <a:noFill/>
        <a:ln>
          <a:noFill/>
        </a:ln>
        <a:effectLst/>
      </c:spPr>
    </c:plotArea>
    <c:legend>
      <c:legendPos val="b"/>
      <c:layout>
        <c:manualLayout>
          <c:xMode val="edge"/>
          <c:yMode val="edge"/>
          <c:x val="0.16307177554419844"/>
          <c:y val="0.21810950902117379"/>
          <c:w val="0.45563279981572569"/>
          <c:h val="8.7994078971095777E-2"/>
        </c:manualLayout>
      </c:layout>
      <c:overlay val="0"/>
      <c:spPr>
        <a:solidFill>
          <a:schemeClr val="bg1"/>
        </a:solidFill>
        <a:ln>
          <a:solidFill>
            <a:schemeClr val="tx1"/>
          </a:solid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Biodiesel</a:t>
            </a:r>
            <a:endParaRPr lang="en-US" b="1"/>
          </a:p>
          <a:p>
            <a:pPr>
              <a:defRPr/>
            </a:pPr>
            <a:r>
              <a:rPr lang="en-US" sz="1100" i="1"/>
              <a:t>(CFP Reported,</a:t>
            </a:r>
            <a:r>
              <a:rPr lang="en-US" sz="1100" i="1" baseline="0"/>
              <a:t> quarterly)</a:t>
            </a:r>
            <a:endParaRPr lang="en-US" sz="11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Forecast_Main!$H$86:$AY$86</c:f>
              <c:numCache>
                <c:formatCode>#,##0</c:formatCode>
                <c:ptCount val="44"/>
                <c:pt idx="0">
                  <c:v>11867430.6</c:v>
                </c:pt>
                <c:pt idx="1">
                  <c:v>11165820</c:v>
                </c:pt>
                <c:pt idx="2">
                  <c:v>13012715.050000001</c:v>
                </c:pt>
                <c:pt idx="3">
                  <c:v>11489107.15</c:v>
                </c:pt>
                <c:pt idx="4">
                  <c:v>9104597</c:v>
                </c:pt>
                <c:pt idx="5">
                  <c:v>13400125.199999999</c:v>
                </c:pt>
                <c:pt idx="6">
                  <c:v>14471281.25</c:v>
                </c:pt>
                <c:pt idx="7">
                  <c:v>14210435.268036803</c:v>
                </c:pt>
                <c:pt idx="8">
                  <c:v>10794217.172234204</c:v>
                </c:pt>
                <c:pt idx="9">
                  <c:v>13063387.418674303</c:v>
                </c:pt>
                <c:pt idx="10">
                  <c:v>14749408.915234635</c:v>
                </c:pt>
                <c:pt idx="11">
                  <c:v>13034116.418898588</c:v>
                </c:pt>
                <c:pt idx="12">
                  <c:v>11315967.817921368</c:v>
                </c:pt>
                <c:pt idx="13">
                  <c:v>16520225.203099381</c:v>
                </c:pt>
                <c:pt idx="14">
                  <c:v>16949908.901677188</c:v>
                </c:pt>
                <c:pt idx="15">
                  <c:v>15297240.151916169</c:v>
                </c:pt>
                <c:pt idx="16">
                  <c:v>15366280.400295956</c:v>
                </c:pt>
                <c:pt idx="17">
                  <c:v>16219609.58207687</c:v>
                </c:pt>
                <c:pt idx="18">
                  <c:v>18269424.876061976</c:v>
                </c:pt>
                <c:pt idx="19">
                  <c:v>18663527.521270078</c:v>
                </c:pt>
                <c:pt idx="20">
                  <c:v>15171766.888480972</c:v>
                </c:pt>
                <c:pt idx="21">
                  <c:v>20217657.820243858</c:v>
                </c:pt>
                <c:pt idx="22">
                  <c:v>21020252.794417512</c:v>
                </c:pt>
                <c:pt idx="23">
                  <c:v>19411239.798757423</c:v>
                </c:pt>
                <c:pt idx="24">
                  <c:v>17768834.717952311</c:v>
                </c:pt>
                <c:pt idx="25">
                  <c:v>23838673.236554913</c:v>
                </c:pt>
                <c:pt idx="26">
                  <c:v>16708374.611313321</c:v>
                </c:pt>
                <c:pt idx="27">
                  <c:v>23316679.205285087</c:v>
                </c:pt>
                <c:pt idx="28">
                  <c:v>17732763.814249173</c:v>
                </c:pt>
                <c:pt idx="29">
                  <c:v>19099820.537361238</c:v>
                </c:pt>
                <c:pt idx="30">
                  <c:v>20865787.036055755</c:v>
                </c:pt>
                <c:pt idx="31">
                  <c:v>21164936.977867439</c:v>
                </c:pt>
                <c:pt idx="32">
                  <c:v>16113836.307903916</c:v>
                </c:pt>
                <c:pt idx="33">
                  <c:v>19003943.337523054</c:v>
                </c:pt>
                <c:pt idx="34">
                  <c:v>21780331.817048911</c:v>
                </c:pt>
                <c:pt idx="35">
                  <c:v>21626883.287990384</c:v>
                </c:pt>
                <c:pt idx="36">
                  <c:v>13440421.893726299</c:v>
                </c:pt>
                <c:pt idx="37">
                  <c:v>19681087.612483352</c:v>
                </c:pt>
                <c:pt idx="38">
                  <c:v>22747229.97589032</c:v>
                </c:pt>
                <c:pt idx="39">
                  <c:v>24053869.60274763</c:v>
                </c:pt>
                <c:pt idx="40">
                  <c:v>18159574.372571666</c:v>
                </c:pt>
                <c:pt idx="41">
                  <c:v>21501259.239154167</c:v>
                </c:pt>
                <c:pt idx="42">
                  <c:v>24934423.679104675</c:v>
                </c:pt>
                <c:pt idx="43">
                  <c:v>26389385.206819374</c:v>
                </c:pt>
              </c:numCache>
            </c:numRef>
          </c:val>
          <c:smooth val="0"/>
          <c:extLst>
            <c:ext xmlns:c16="http://schemas.microsoft.com/office/drawing/2014/chart" uri="{C3380CC4-5D6E-409C-BE32-E72D297353CC}">
              <c16:uniqueId val="{00000000-2E2A-491B-AA8E-4F3BF16CB000}"/>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
        <c:majorTimeUnit val="years"/>
      </c:dateAx>
      <c:valAx>
        <c:axId val="399670200"/>
        <c:scaling>
          <c:orientation val="minMax"/>
          <c:min val="8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Millions of Gallons</a:t>
                </a:r>
              </a:p>
            </c:rich>
          </c:tx>
          <c:layout>
            <c:manualLayout>
              <c:xMode val="edge"/>
              <c:yMode val="edge"/>
              <c:x val="2.2571037315987676E-2"/>
              <c:y val="0.1987137223875724"/>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dispUnits>
          <c:builtInUnit val="millions"/>
        </c:dispUnits>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Renewable Diesel</a:t>
            </a:r>
          </a:p>
          <a:p>
            <a:pPr>
              <a:defRPr/>
            </a:pPr>
            <a:r>
              <a:rPr lang="en-US" sz="1100" i="1"/>
              <a:t>(CFP Reported, quarterly)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Forecast_Main!$H$88:$AY$88</c:f>
              <c:numCache>
                <c:formatCode>#,##0</c:formatCode>
                <c:ptCount val="44"/>
                <c:pt idx="0">
                  <c:v>0</c:v>
                </c:pt>
                <c:pt idx="1">
                  <c:v>0</c:v>
                </c:pt>
                <c:pt idx="2">
                  <c:v>0</c:v>
                </c:pt>
                <c:pt idx="3">
                  <c:v>0</c:v>
                </c:pt>
                <c:pt idx="4">
                  <c:v>0</c:v>
                </c:pt>
                <c:pt idx="5">
                  <c:v>0</c:v>
                </c:pt>
                <c:pt idx="6">
                  <c:v>0</c:v>
                </c:pt>
                <c:pt idx="7">
                  <c:v>340253.53196319623</c:v>
                </c:pt>
                <c:pt idx="8">
                  <c:v>301481.0777657968</c:v>
                </c:pt>
                <c:pt idx="9">
                  <c:v>200456.88132569814</c:v>
                </c:pt>
                <c:pt idx="10">
                  <c:v>223908.68476536599</c:v>
                </c:pt>
                <c:pt idx="11">
                  <c:v>481580.18110141181</c:v>
                </c:pt>
                <c:pt idx="12">
                  <c:v>162808.78207863175</c:v>
                </c:pt>
                <c:pt idx="13">
                  <c:v>459855.94690061948</c:v>
                </c:pt>
                <c:pt idx="14">
                  <c:v>11387556.848322812</c:v>
                </c:pt>
                <c:pt idx="15">
                  <c:v>4302226.2480838317</c:v>
                </c:pt>
                <c:pt idx="16">
                  <c:v>7135488.9997040434</c:v>
                </c:pt>
                <c:pt idx="17">
                  <c:v>6193852.8179231305</c:v>
                </c:pt>
                <c:pt idx="18">
                  <c:v>203819.17393802531</c:v>
                </c:pt>
                <c:pt idx="19">
                  <c:v>3899436.2287299228</c:v>
                </c:pt>
                <c:pt idx="20">
                  <c:v>6857619.7615190269</c:v>
                </c:pt>
                <c:pt idx="21">
                  <c:v>-454058.42024385557</c:v>
                </c:pt>
                <c:pt idx="22">
                  <c:v>3303457.3055824912</c:v>
                </c:pt>
                <c:pt idx="23">
                  <c:v>65817.401242576962</c:v>
                </c:pt>
                <c:pt idx="24">
                  <c:v>14122040.23204769</c:v>
                </c:pt>
                <c:pt idx="25">
                  <c:v>5060563.6134450855</c:v>
                </c:pt>
                <c:pt idx="26">
                  <c:v>8545364.3386866804</c:v>
                </c:pt>
                <c:pt idx="27">
                  <c:v>18900490.694714911</c:v>
                </c:pt>
                <c:pt idx="28">
                  <c:v>23722195.685750831</c:v>
                </c:pt>
                <c:pt idx="29">
                  <c:v>26442303.562638763</c:v>
                </c:pt>
                <c:pt idx="30">
                  <c:v>39364279.363944247</c:v>
                </c:pt>
                <c:pt idx="31">
                  <c:v>36719375.872132562</c:v>
                </c:pt>
                <c:pt idx="32">
                  <c:v>56059540.39209608</c:v>
                </c:pt>
                <c:pt idx="33">
                  <c:v>41116266.362476945</c:v>
                </c:pt>
                <c:pt idx="34">
                  <c:v>37050335.882951088</c:v>
                </c:pt>
                <c:pt idx="35">
                  <c:v>35653840.812009618</c:v>
                </c:pt>
                <c:pt idx="36">
                  <c:v>12635152.4062737</c:v>
                </c:pt>
                <c:pt idx="37">
                  <c:v>37487785.928539716</c:v>
                </c:pt>
                <c:pt idx="38">
                  <c:v>43328057.096933946</c:v>
                </c:pt>
                <c:pt idx="39">
                  <c:v>45816894.481424063</c:v>
                </c:pt>
                <c:pt idx="40">
                  <c:v>39477335.592547096</c:v>
                </c:pt>
                <c:pt idx="41">
                  <c:v>46741867.911204711</c:v>
                </c:pt>
                <c:pt idx="42">
                  <c:v>54205268.867618859</c:v>
                </c:pt>
                <c:pt idx="43">
                  <c:v>57368228.710476898</c:v>
                </c:pt>
              </c:numCache>
            </c:numRef>
          </c:val>
          <c:smooth val="0"/>
          <c:extLst>
            <c:ext xmlns:c16="http://schemas.microsoft.com/office/drawing/2014/chart" uri="{C3380CC4-5D6E-409C-BE32-E72D297353CC}">
              <c16:uniqueId val="{00000000-66E0-42F3-A159-C9605CFA70E3}"/>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low"/>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
        <c:majorTimeUnit val="years"/>
      </c:dateAx>
      <c:valAx>
        <c:axId val="39967020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Millions of Gallons</a:t>
                </a:r>
              </a:p>
            </c:rich>
          </c:tx>
          <c:layout>
            <c:manualLayout>
              <c:xMode val="edge"/>
              <c:yMode val="edge"/>
              <c:x val="1.9436947304663839E-2"/>
              <c:y val="0.19073924072888021"/>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dispUnits>
          <c:builtInUnit val="millions"/>
        </c:dispUnits>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Residential Charging</a:t>
            </a:r>
            <a:r>
              <a:rPr lang="en-US" sz="1600" b="1" baseline="0"/>
              <a:t> Percentage</a:t>
            </a:r>
            <a:endParaRPr lang="en-US" sz="1600" b="1"/>
          </a:p>
        </c:rich>
      </c:tx>
      <c:overlay val="0"/>
      <c:spPr>
        <a:noFill/>
        <a:ln>
          <a:noFill/>
        </a:ln>
        <a:effectLst/>
      </c:spPr>
    </c:title>
    <c:autoTitleDeleted val="0"/>
    <c:plotArea>
      <c:layout/>
      <c:lineChart>
        <c:grouping val="standard"/>
        <c:varyColors val="0"/>
        <c:ser>
          <c:idx val="1"/>
          <c:order val="0"/>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Forecast_Main!$H$95:$AE$95</c:f>
              <c:numCache>
                <c:formatCode>0.0%</c:formatCode>
                <c:ptCount val="24"/>
                <c:pt idx="0">
                  <c:v>0.97723784390409751</c:v>
                </c:pt>
                <c:pt idx="1">
                  <c:v>0.9650490424834306</c:v>
                </c:pt>
                <c:pt idx="2">
                  <c:v>0.95275912836065002</c:v>
                </c:pt>
                <c:pt idx="3">
                  <c:v>0.95560331212324912</c:v>
                </c:pt>
                <c:pt idx="4">
                  <c:v>0.96278343029681734</c:v>
                </c:pt>
                <c:pt idx="5">
                  <c:v>0.95331539299970636</c:v>
                </c:pt>
                <c:pt idx="6">
                  <c:v>0.93888606590535395</c:v>
                </c:pt>
                <c:pt idx="7">
                  <c:v>0.94163013566363041</c:v>
                </c:pt>
                <c:pt idx="8">
                  <c:v>0.96410140063863004</c:v>
                </c:pt>
                <c:pt idx="9">
                  <c:v>0.94986955941290474</c:v>
                </c:pt>
                <c:pt idx="10">
                  <c:v>0.93492089630193209</c:v>
                </c:pt>
                <c:pt idx="11">
                  <c:v>0.91943988713926161</c:v>
                </c:pt>
                <c:pt idx="12">
                  <c:v>0.93634789785244787</c:v>
                </c:pt>
                <c:pt idx="13">
                  <c:v>0.92191815688561451</c:v>
                </c:pt>
                <c:pt idx="14">
                  <c:v>0.90091178764744584</c:v>
                </c:pt>
                <c:pt idx="15">
                  <c:v>0.90217898418058551</c:v>
                </c:pt>
                <c:pt idx="16">
                  <c:v>0.93307931267321642</c:v>
                </c:pt>
                <c:pt idx="17">
                  <c:v>0.9526474831423708</c:v>
                </c:pt>
                <c:pt idx="18">
                  <c:v>0.91306060145169632</c:v>
                </c:pt>
                <c:pt idx="19">
                  <c:v>0.91855733436424869</c:v>
                </c:pt>
                <c:pt idx="20">
                  <c:v>0.93171108539836878</c:v>
                </c:pt>
                <c:pt idx="21">
                  <c:v>0.89810183081716144</c:v>
                </c:pt>
                <c:pt idx="22">
                  <c:v>0.89043381954652456</c:v>
                </c:pt>
                <c:pt idx="23">
                  <c:v>0.89177741672094435</c:v>
                </c:pt>
              </c:numCache>
            </c:numRef>
          </c:val>
          <c:smooth val="0"/>
          <c:extLst>
            <c:ext xmlns:c16="http://schemas.microsoft.com/office/drawing/2014/chart" uri="{C3380CC4-5D6E-409C-BE32-E72D297353CC}">
              <c16:uniqueId val="{00000002-A791-4135-83E5-22B3E4D2D0A7}"/>
            </c:ext>
          </c:extLst>
        </c:ser>
        <c:ser>
          <c:idx val="0"/>
          <c:order val="1"/>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Forecast_Main!$H$95:$AY$95</c:f>
              <c:numCache>
                <c:formatCode>0.0%</c:formatCode>
                <c:ptCount val="44"/>
                <c:pt idx="0">
                  <c:v>0.97723784390409751</c:v>
                </c:pt>
                <c:pt idx="1">
                  <c:v>0.9650490424834306</c:v>
                </c:pt>
                <c:pt idx="2">
                  <c:v>0.95275912836065002</c:v>
                </c:pt>
                <c:pt idx="3">
                  <c:v>0.95560331212324912</c:v>
                </c:pt>
                <c:pt idx="4">
                  <c:v>0.96278343029681734</c:v>
                </c:pt>
                <c:pt idx="5">
                  <c:v>0.95331539299970636</c:v>
                </c:pt>
                <c:pt idx="6">
                  <c:v>0.93888606590535395</c:v>
                </c:pt>
                <c:pt idx="7">
                  <c:v>0.94163013566363041</c:v>
                </c:pt>
                <c:pt idx="8">
                  <c:v>0.96410140063863004</c:v>
                </c:pt>
                <c:pt idx="9">
                  <c:v>0.94986955941290474</c:v>
                </c:pt>
                <c:pt idx="10">
                  <c:v>0.93492089630193209</c:v>
                </c:pt>
                <c:pt idx="11">
                  <c:v>0.91943988713926161</c:v>
                </c:pt>
                <c:pt idx="12">
                  <c:v>0.93634789785244787</c:v>
                </c:pt>
                <c:pt idx="13">
                  <c:v>0.92191815688561451</c:v>
                </c:pt>
                <c:pt idx="14">
                  <c:v>0.90091178764744584</c:v>
                </c:pt>
                <c:pt idx="15">
                  <c:v>0.90217898418058551</c:v>
                </c:pt>
                <c:pt idx="16">
                  <c:v>0.93307931267321642</c:v>
                </c:pt>
                <c:pt idx="17">
                  <c:v>0.9526474831423708</c:v>
                </c:pt>
                <c:pt idx="18">
                  <c:v>0.91306060145169632</c:v>
                </c:pt>
                <c:pt idx="19">
                  <c:v>0.91855733436424869</c:v>
                </c:pt>
                <c:pt idx="20">
                  <c:v>0.93171108539836878</c:v>
                </c:pt>
                <c:pt idx="21">
                  <c:v>0.89810183081716144</c:v>
                </c:pt>
                <c:pt idx="22">
                  <c:v>0.89043381954652456</c:v>
                </c:pt>
                <c:pt idx="23">
                  <c:v>0.89177741672094435</c:v>
                </c:pt>
                <c:pt idx="24">
                  <c:v>0.9117317025898366</c:v>
                </c:pt>
                <c:pt idx="25">
                  <c:v>0.87860243882659816</c:v>
                </c:pt>
                <c:pt idx="26">
                  <c:v>0.85229831813936685</c:v>
                </c:pt>
                <c:pt idx="27">
                  <c:v>0.85221733933212018</c:v>
                </c:pt>
                <c:pt idx="28">
                  <c:v>0.87630173711813708</c:v>
                </c:pt>
                <c:pt idx="29">
                  <c:v>0.85034668347676767</c:v>
                </c:pt>
                <c:pt idx="30">
                  <c:v>0.84312037493253578</c:v>
                </c:pt>
                <c:pt idx="31">
                  <c:v>0.83534506209033788</c:v>
                </c:pt>
                <c:pt idx="32">
                  <c:v>0.86216301882085555</c:v>
                </c:pt>
                <c:pt idx="33">
                  <c:v>0.83316231791626172</c:v>
                </c:pt>
                <c:pt idx="34">
                  <c:v>0.81810378396293493</c:v>
                </c:pt>
                <c:pt idx="35">
                  <c:v>0.81669797086666041</c:v>
                </c:pt>
                <c:pt idx="36">
                  <c:v>0.82962485530857688</c:v>
                </c:pt>
                <c:pt idx="37">
                  <c:v>0.79742941163268355</c:v>
                </c:pt>
                <c:pt idx="38">
                  <c:v>0.78523229282913642</c:v>
                </c:pt>
                <c:pt idx="39">
                  <c:v>0.77480129617116622</c:v>
                </c:pt>
                <c:pt idx="40">
                  <c:v>0.76933297497357012</c:v>
                </c:pt>
                <c:pt idx="41">
                  <c:v>0.75909219758569246</c:v>
                </c:pt>
                <c:pt idx="42">
                  <c:v>0.74760458238558436</c:v>
                </c:pt>
                <c:pt idx="43">
                  <c:v>0.73812304082727875</c:v>
                </c:pt>
              </c:numCache>
            </c:numRef>
          </c:val>
          <c:smooth val="0"/>
          <c:extLst>
            <c:ext xmlns:c16="http://schemas.microsoft.com/office/drawing/2014/chart" uri="{C3380CC4-5D6E-409C-BE32-E72D297353CC}">
              <c16:uniqueId val="{00000001-A791-4135-83E5-22B3E4D2D0A7}"/>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valAx>
    </c:plotArea>
    <c:plotVisOnly val="1"/>
    <c:dispBlanksAs val="gap"/>
    <c:showDLblsOverMax val="0"/>
  </c:chart>
  <c:spPr>
    <a:ln>
      <a:solidFill>
        <a:schemeClr val="bg1"/>
      </a:solidFill>
    </a:ln>
  </c:spPr>
  <c:txPr>
    <a:bodyPr/>
    <a:lstStyle/>
    <a:p>
      <a:pPr>
        <a:defRPr/>
      </a:pPr>
      <a:endParaRPr lang="en-US"/>
    </a:p>
  </c:txPr>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Total On-Road</a:t>
            </a:r>
            <a:r>
              <a:rPr lang="en-US" sz="1600" b="1" baseline="0"/>
              <a:t> Electricity</a:t>
            </a:r>
          </a:p>
          <a:p>
            <a:pPr>
              <a:defRPr/>
            </a:pPr>
            <a:r>
              <a:rPr lang="en-US" sz="1100" i="1"/>
              <a:t>(CFP Reported, quarterly)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Forecast_Main!$H$96:$AY$96</c:f>
              <c:numCache>
                <c:formatCode>#,##0</c:formatCode>
                <c:ptCount val="44"/>
                <c:pt idx="0">
                  <c:v>310207.87179607654</c:v>
                </c:pt>
                <c:pt idx="1">
                  <c:v>314125.87179607654</c:v>
                </c:pt>
                <c:pt idx="2">
                  <c:v>318177.87179607654</c:v>
                </c:pt>
                <c:pt idx="3">
                  <c:v>317230.87179607654</c:v>
                </c:pt>
                <c:pt idx="4">
                  <c:v>384828.58883082954</c:v>
                </c:pt>
                <c:pt idx="5">
                  <c:v>388650.58883082954</c:v>
                </c:pt>
                <c:pt idx="6">
                  <c:v>394623.58883082954</c:v>
                </c:pt>
                <c:pt idx="7">
                  <c:v>393473.58883082954</c:v>
                </c:pt>
                <c:pt idx="8">
                  <c:v>519323.88259307639</c:v>
                </c:pt>
                <c:pt idx="9">
                  <c:v>527104.88259307644</c:v>
                </c:pt>
                <c:pt idx="10">
                  <c:v>535532.88259307644</c:v>
                </c:pt>
                <c:pt idx="11">
                  <c:v>544549.88259307644</c:v>
                </c:pt>
                <c:pt idx="12">
                  <c:v>681580.00342913123</c:v>
                </c:pt>
                <c:pt idx="13">
                  <c:v>692248.00342913123</c:v>
                </c:pt>
                <c:pt idx="14">
                  <c:v>708389.00342913123</c:v>
                </c:pt>
                <c:pt idx="15">
                  <c:v>707394.00342913123</c:v>
                </c:pt>
                <c:pt idx="16">
                  <c:v>811408.28298497712</c:v>
                </c:pt>
                <c:pt idx="17">
                  <c:v>794741.28298497712</c:v>
                </c:pt>
                <c:pt idx="18">
                  <c:v>829198.28298497712</c:v>
                </c:pt>
                <c:pt idx="19">
                  <c:v>824236.28298497712</c:v>
                </c:pt>
                <c:pt idx="20">
                  <c:v>1027428.8354016982</c:v>
                </c:pt>
                <c:pt idx="21">
                  <c:v>1065877.8354016982</c:v>
                </c:pt>
                <c:pt idx="22">
                  <c:v>1294925.1257348137</c:v>
                </c:pt>
                <c:pt idx="23">
                  <c:v>1292974.1257348137</c:v>
                </c:pt>
                <c:pt idx="24">
                  <c:v>1633870.8713259308</c:v>
                </c:pt>
                <c:pt idx="25">
                  <c:v>1695478.8713259308</c:v>
                </c:pt>
                <c:pt idx="26">
                  <c:v>1789072.3834095362</c:v>
                </c:pt>
                <c:pt idx="27">
                  <c:v>1789242.3834095362</c:v>
                </c:pt>
                <c:pt idx="28">
                  <c:v>1951911</c:v>
                </c:pt>
                <c:pt idx="29">
                  <c:v>2011489</c:v>
                </c:pt>
                <c:pt idx="30">
                  <c:v>2553206</c:v>
                </c:pt>
                <c:pt idx="31">
                  <c:v>2576971</c:v>
                </c:pt>
                <c:pt idx="32">
                  <c:v>2533413</c:v>
                </c:pt>
                <c:pt idx="33">
                  <c:v>2621596</c:v>
                </c:pt>
                <c:pt idx="34">
                  <c:v>3053439</c:v>
                </c:pt>
                <c:pt idx="35">
                  <c:v>3058695</c:v>
                </c:pt>
                <c:pt idx="36">
                  <c:v>3181913.6587197911</c:v>
                </c:pt>
                <c:pt idx="37">
                  <c:v>3448801.3415017747</c:v>
                </c:pt>
                <c:pt idx="38">
                  <c:v>3648750.6580713876</c:v>
                </c:pt>
                <c:pt idx="39">
                  <c:v>3845722.0694890139</c:v>
                </c:pt>
                <c:pt idx="40">
                  <c:v>4167448.4259579051</c:v>
                </c:pt>
                <c:pt idx="41">
                  <c:v>4492446.7716860473</c:v>
                </c:pt>
                <c:pt idx="42">
                  <c:v>4839019.1394704562</c:v>
                </c:pt>
                <c:pt idx="43">
                  <c:v>5166685.7952328194</c:v>
                </c:pt>
              </c:numCache>
            </c:numRef>
          </c:val>
          <c:smooth val="0"/>
          <c:extLst>
            <c:ext xmlns:c16="http://schemas.microsoft.com/office/drawing/2014/chart" uri="{C3380CC4-5D6E-409C-BE32-E72D297353CC}">
              <c16:uniqueId val="{00000000-B564-47E2-A92A-BBF66E7CAEB2}"/>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dispUnits>
          <c:builtInUnit val="millions"/>
          <c:dispUnitsLbl>
            <c:layout>
              <c:manualLayout>
                <c:xMode val="edge"/>
                <c:yMode val="edge"/>
                <c:x val="1.9086565417712878E-2"/>
                <c:y val="0.20608635045021281"/>
              </c:manualLayout>
            </c:layout>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Millions of Gallons</a:t>
                  </a:r>
                </a:p>
              </c:rich>
            </c:tx>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Natural</a:t>
            </a:r>
            <a:r>
              <a:rPr lang="en-US" sz="1600" b="1" baseline="0"/>
              <a:t> Gas</a:t>
            </a:r>
          </a:p>
          <a:p>
            <a:pPr>
              <a:defRPr/>
            </a:pPr>
            <a:r>
              <a:rPr lang="en-US" sz="1100" i="1" baseline="0"/>
              <a:t>(CFP Reported, quarterly)</a:t>
            </a:r>
            <a:endParaRPr lang="en-US" sz="11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Forecast_Main!$H$108:$AY$108</c:f>
              <c:numCache>
                <c:formatCode>#,##0</c:formatCode>
                <c:ptCount val="44"/>
                <c:pt idx="0">
                  <c:v>136670</c:v>
                </c:pt>
                <c:pt idx="1">
                  <c:v>164874</c:v>
                </c:pt>
                <c:pt idx="2">
                  <c:v>569685</c:v>
                </c:pt>
                <c:pt idx="3">
                  <c:v>641004</c:v>
                </c:pt>
                <c:pt idx="4">
                  <c:v>653625</c:v>
                </c:pt>
                <c:pt idx="5">
                  <c:v>764052</c:v>
                </c:pt>
                <c:pt idx="6">
                  <c:v>715850</c:v>
                </c:pt>
                <c:pt idx="7">
                  <c:v>641307</c:v>
                </c:pt>
                <c:pt idx="8">
                  <c:v>656066</c:v>
                </c:pt>
                <c:pt idx="9">
                  <c:v>781786</c:v>
                </c:pt>
                <c:pt idx="10">
                  <c:v>796046</c:v>
                </c:pt>
                <c:pt idx="11">
                  <c:v>857401</c:v>
                </c:pt>
                <c:pt idx="12">
                  <c:v>794593</c:v>
                </c:pt>
                <c:pt idx="13">
                  <c:v>838415</c:v>
                </c:pt>
                <c:pt idx="14">
                  <c:v>864572</c:v>
                </c:pt>
                <c:pt idx="15">
                  <c:v>816263</c:v>
                </c:pt>
                <c:pt idx="16">
                  <c:v>833577</c:v>
                </c:pt>
                <c:pt idx="17">
                  <c:v>800385</c:v>
                </c:pt>
                <c:pt idx="18">
                  <c:v>807802</c:v>
                </c:pt>
                <c:pt idx="19">
                  <c:v>848578</c:v>
                </c:pt>
                <c:pt idx="20">
                  <c:v>891680</c:v>
                </c:pt>
                <c:pt idx="21">
                  <c:v>954637</c:v>
                </c:pt>
                <c:pt idx="22">
                  <c:v>984094</c:v>
                </c:pt>
                <c:pt idx="23">
                  <c:v>980592</c:v>
                </c:pt>
                <c:pt idx="24">
                  <c:v>922378</c:v>
                </c:pt>
                <c:pt idx="25">
                  <c:v>984391</c:v>
                </c:pt>
                <c:pt idx="26">
                  <c:v>1031517</c:v>
                </c:pt>
                <c:pt idx="27">
                  <c:v>1020002</c:v>
                </c:pt>
                <c:pt idx="28">
                  <c:v>993313</c:v>
                </c:pt>
                <c:pt idx="29">
                  <c:v>1000358</c:v>
                </c:pt>
                <c:pt idx="30">
                  <c:v>992217</c:v>
                </c:pt>
                <c:pt idx="31">
                  <c:v>974133</c:v>
                </c:pt>
                <c:pt idx="32">
                  <c:v>921019</c:v>
                </c:pt>
                <c:pt idx="33">
                  <c:v>1005020</c:v>
                </c:pt>
                <c:pt idx="34">
                  <c:v>1021244</c:v>
                </c:pt>
                <c:pt idx="35">
                  <c:v>998692</c:v>
                </c:pt>
                <c:pt idx="36">
                  <c:v>947647</c:v>
                </c:pt>
                <c:pt idx="37">
                  <c:v>1040195.7</c:v>
                </c:pt>
                <c:pt idx="38">
                  <c:v>1056987.5399999998</c:v>
                </c:pt>
                <c:pt idx="39">
                  <c:v>1033646.22</c:v>
                </c:pt>
                <c:pt idx="40">
                  <c:v>971338.17499999993</c:v>
                </c:pt>
                <c:pt idx="41">
                  <c:v>1076602.5495</c:v>
                </c:pt>
                <c:pt idx="42">
                  <c:v>1093982.1038999998</c:v>
                </c:pt>
                <c:pt idx="43">
                  <c:v>1069823.8376999998</c:v>
                </c:pt>
              </c:numCache>
            </c:numRef>
          </c:val>
          <c:smooth val="0"/>
          <c:extLst>
            <c:ext xmlns:c16="http://schemas.microsoft.com/office/drawing/2014/chart" uri="{C3380CC4-5D6E-409C-BE32-E72D297353CC}">
              <c16:uniqueId val="{00000000-DC3C-4DD4-8E1C-7149D58AD771}"/>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Millions of Gallons</a:t>
                </a:r>
              </a:p>
            </c:rich>
          </c:tx>
          <c:layout>
            <c:manualLayout>
              <c:xMode val="edge"/>
              <c:yMode val="edge"/>
              <c:x val="1.6359857191764072E-2"/>
              <c:y val="0.1987137223875724"/>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dispUnits>
          <c:builtInUnit val="millions"/>
        </c:dispUnits>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Liquified Petroleum</a:t>
            </a:r>
            <a:r>
              <a:rPr lang="en-US" sz="1600" b="1" baseline="0"/>
              <a:t> Gas</a:t>
            </a:r>
          </a:p>
          <a:p>
            <a:pPr>
              <a:defRPr/>
            </a:pPr>
            <a:r>
              <a:rPr lang="en-US" sz="1100" i="1" baseline="0"/>
              <a:t>(CFP Reported, quarterly)</a:t>
            </a:r>
            <a:endParaRPr lang="en-US" sz="11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Forecast_Main!$H$111:$AY$111</c:f>
              <c:numCache>
                <c:formatCode>#,##0</c:formatCode>
                <c:ptCount val="44"/>
                <c:pt idx="0">
                  <c:v>18821</c:v>
                </c:pt>
                <c:pt idx="1">
                  <c:v>18876</c:v>
                </c:pt>
                <c:pt idx="2">
                  <c:v>7995</c:v>
                </c:pt>
                <c:pt idx="3">
                  <c:v>19358</c:v>
                </c:pt>
                <c:pt idx="4">
                  <c:v>20826</c:v>
                </c:pt>
                <c:pt idx="5">
                  <c:v>43505</c:v>
                </c:pt>
                <c:pt idx="6">
                  <c:v>24333</c:v>
                </c:pt>
                <c:pt idx="7">
                  <c:v>39627</c:v>
                </c:pt>
                <c:pt idx="8">
                  <c:v>138064</c:v>
                </c:pt>
                <c:pt idx="9">
                  <c:v>152677</c:v>
                </c:pt>
                <c:pt idx="10">
                  <c:v>162962</c:v>
                </c:pt>
                <c:pt idx="11">
                  <c:v>256861</c:v>
                </c:pt>
                <c:pt idx="12">
                  <c:v>338321</c:v>
                </c:pt>
                <c:pt idx="13">
                  <c:v>130210</c:v>
                </c:pt>
                <c:pt idx="14">
                  <c:v>257693</c:v>
                </c:pt>
                <c:pt idx="15">
                  <c:v>485144</c:v>
                </c:pt>
                <c:pt idx="16">
                  <c:v>458192</c:v>
                </c:pt>
                <c:pt idx="17">
                  <c:v>68331</c:v>
                </c:pt>
                <c:pt idx="18">
                  <c:v>81833</c:v>
                </c:pt>
                <c:pt idx="19">
                  <c:v>141995</c:v>
                </c:pt>
                <c:pt idx="20">
                  <c:v>216390</c:v>
                </c:pt>
                <c:pt idx="21">
                  <c:v>486516</c:v>
                </c:pt>
                <c:pt idx="22">
                  <c:v>412444</c:v>
                </c:pt>
                <c:pt idx="23">
                  <c:v>631224</c:v>
                </c:pt>
                <c:pt idx="24">
                  <c:v>685928</c:v>
                </c:pt>
                <c:pt idx="25">
                  <c:v>785436</c:v>
                </c:pt>
                <c:pt idx="26">
                  <c:v>402130</c:v>
                </c:pt>
                <c:pt idx="27">
                  <c:v>691712</c:v>
                </c:pt>
                <c:pt idx="28">
                  <c:v>730659</c:v>
                </c:pt>
                <c:pt idx="29">
                  <c:v>623412</c:v>
                </c:pt>
                <c:pt idx="30">
                  <c:v>562486</c:v>
                </c:pt>
                <c:pt idx="31">
                  <c:v>618440</c:v>
                </c:pt>
                <c:pt idx="32">
                  <c:v>842697</c:v>
                </c:pt>
                <c:pt idx="33">
                  <c:v>538861</c:v>
                </c:pt>
                <c:pt idx="34">
                  <c:v>366523</c:v>
                </c:pt>
                <c:pt idx="35">
                  <c:v>874313</c:v>
                </c:pt>
                <c:pt idx="36">
                  <c:v>820684</c:v>
                </c:pt>
                <c:pt idx="37">
                  <c:v>613689.91599999997</c:v>
                </c:pt>
                <c:pt idx="38">
                  <c:v>667557.24521999992</c:v>
                </c:pt>
                <c:pt idx="39">
                  <c:v>777987.20455989998</c:v>
                </c:pt>
                <c:pt idx="40">
                  <c:v>712892.66101722373</c:v>
                </c:pt>
                <c:pt idx="41">
                  <c:v>740158.96610204643</c:v>
                </c:pt>
                <c:pt idx="42">
                  <c:v>786309.87366061937</c:v>
                </c:pt>
                <c:pt idx="43">
                  <c:v>831242.86141534289</c:v>
                </c:pt>
              </c:numCache>
            </c:numRef>
          </c:val>
          <c:smooth val="0"/>
          <c:extLst>
            <c:ext xmlns:c16="http://schemas.microsoft.com/office/drawing/2014/chart" uri="{C3380CC4-5D6E-409C-BE32-E72D297353CC}">
              <c16:uniqueId val="{00000000-1CC7-49D3-BB79-817141FEE9A1}"/>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Millions of Gallons</a:t>
                </a:r>
              </a:p>
            </c:rich>
          </c:tx>
          <c:layout>
            <c:manualLayout>
              <c:xMode val="edge"/>
              <c:yMode val="edge"/>
              <c:x val="2.2551863679578753E-2"/>
              <c:y val="0.2022706244453256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dispUnits>
          <c:builtInUnit val="millions"/>
        </c:dispUnits>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Non-Res KWh per Vehicle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4834840691353214E-2"/>
          <c:y val="0.1438995215311005"/>
          <c:w val="0.84626679018063922"/>
          <c:h val="0.70235655351693482"/>
        </c:manualLayout>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Forecast_Main!$H$99:$AY$99</c:f>
              <c:numCache>
                <c:formatCode>#,##0</c:formatCode>
                <c:ptCount val="44"/>
                <c:pt idx="0">
                  <c:v>0</c:v>
                </c:pt>
                <c:pt idx="1">
                  <c:v>0</c:v>
                </c:pt>
                <c:pt idx="2">
                  <c:v>0</c:v>
                </c:pt>
                <c:pt idx="3">
                  <c:v>0</c:v>
                </c:pt>
                <c:pt idx="4">
                  <c:v>0</c:v>
                </c:pt>
                <c:pt idx="5">
                  <c:v>0</c:v>
                </c:pt>
                <c:pt idx="6">
                  <c:v>0</c:v>
                </c:pt>
                <c:pt idx="7">
                  <c:v>0</c:v>
                </c:pt>
                <c:pt idx="8">
                  <c:v>0</c:v>
                </c:pt>
                <c:pt idx="9">
                  <c:v>0</c:v>
                </c:pt>
                <c:pt idx="10">
                  <c:v>0</c:v>
                </c:pt>
                <c:pt idx="11">
                  <c:v>0</c:v>
                </c:pt>
                <c:pt idx="12">
                  <c:v>59.644404933482399</c:v>
                </c:pt>
                <c:pt idx="13">
                  <c:v>69.882924398843073</c:v>
                </c:pt>
                <c:pt idx="14">
                  <c:v>84.01484061370077</c:v>
                </c:pt>
                <c:pt idx="15">
                  <c:v>77.847686440491145</c:v>
                </c:pt>
                <c:pt idx="16">
                  <c:v>57.749505053662595</c:v>
                </c:pt>
                <c:pt idx="17">
                  <c:v>39.798523169590283</c:v>
                </c:pt>
                <c:pt idx="18">
                  <c:v>73.77092670015341</c:v>
                </c:pt>
                <c:pt idx="19">
                  <c:v>64.946501729939811</c:v>
                </c:pt>
                <c:pt idx="20">
                  <c:v>64.039360310008192</c:v>
                </c:pt>
                <c:pt idx="21">
                  <c:v>93.218657360690656</c:v>
                </c:pt>
                <c:pt idx="22">
                  <c:v>112.26795257439969</c:v>
                </c:pt>
                <c:pt idx="23">
                  <c:v>101.92681039958323</c:v>
                </c:pt>
                <c:pt idx="24">
                  <c:v>98.697567418969854</c:v>
                </c:pt>
                <c:pt idx="25">
                  <c:v>131.85012395423422</c:v>
                </c:pt>
                <c:pt idx="26">
                  <c:v>155.65259440087257</c:v>
                </c:pt>
                <c:pt idx="27">
                  <c:v>143.76313567146792</c:v>
                </c:pt>
                <c:pt idx="28">
                  <c:v>121.00576718485564</c:v>
                </c:pt>
                <c:pt idx="29">
                  <c:v>141.7656169686567</c:v>
                </c:pt>
                <c:pt idx="30">
                  <c:v>172.25970196210619</c:v>
                </c:pt>
                <c:pt idx="31">
                  <c:v>169.83932719985569</c:v>
                </c:pt>
                <c:pt idx="32">
                  <c:v>129.76344225389715</c:v>
                </c:pt>
                <c:pt idx="33">
                  <c:v>151.41254568908698</c:v>
                </c:pt>
                <c:pt idx="34">
                  <c:v>180.58341382093104</c:v>
                </c:pt>
                <c:pt idx="35">
                  <c:v>182.29232819401972</c:v>
                </c:pt>
                <c:pt idx="36">
                  <c:v>159.3111846259859</c:v>
                </c:pt>
                <c:pt idx="37">
                  <c:v>197.06337844274336</c:v>
                </c:pt>
                <c:pt idx="38">
                  <c:v>212.17421947526833</c:v>
                </c:pt>
                <c:pt idx="39">
                  <c:v>225.47444791138327</c:v>
                </c:pt>
                <c:pt idx="40">
                  <c:v>232.59102428360148</c:v>
                </c:pt>
                <c:pt idx="41">
                  <c:v>246.19437311737354</c:v>
                </c:pt>
                <c:pt idx="42">
                  <c:v>261.89746535475274</c:v>
                </c:pt>
                <c:pt idx="43">
                  <c:v>275.22654061922998</c:v>
                </c:pt>
              </c:numCache>
            </c:numRef>
          </c:val>
          <c:smooth val="0"/>
          <c:extLst>
            <c:ext xmlns:c16="http://schemas.microsoft.com/office/drawing/2014/chart" uri="{C3380CC4-5D6E-409C-BE32-E72D297353CC}">
              <c16:uniqueId val="{00000000-7E24-41CA-B0AA-5D8256A4D736}"/>
            </c:ext>
          </c:extLst>
        </c:ser>
        <c:dLbls>
          <c:showLegendKey val="0"/>
          <c:showVal val="0"/>
          <c:showCatName val="0"/>
          <c:showSerName val="0"/>
          <c:showPercent val="0"/>
          <c:showBubbleSize val="0"/>
        </c:dLbls>
        <c:smooth val="0"/>
        <c:axId val="366170760"/>
        <c:axId val="399670200"/>
      </c:lineChart>
      <c:dateAx>
        <c:axId val="366170760"/>
        <c:scaling>
          <c:orientation val="minMax"/>
          <c:max val="46296"/>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baseline="0"/>
              <a:t>On-road Electricity</a:t>
            </a:r>
          </a:p>
          <a:p>
            <a:pPr>
              <a:defRPr/>
            </a:pPr>
            <a:r>
              <a:rPr lang="en-US" sz="1100" i="1" baseline="0"/>
              <a:t>(CFP Reported, quarterly)</a:t>
            </a:r>
            <a:endParaRPr lang="en-US" sz="11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553427370658423"/>
          <c:y val="0.27306132188021953"/>
          <c:w val="0.80228346456692912"/>
          <c:h val="0.57744508910070447"/>
        </c:manualLayout>
      </c:layout>
      <c:lineChart>
        <c:grouping val="standard"/>
        <c:varyColors val="0"/>
        <c:ser>
          <c:idx val="0"/>
          <c:order val="0"/>
          <c:tx>
            <c:strRef>
              <c:f>Forecast_Main!$G$93</c:f>
              <c:strCache>
                <c:ptCount val="1"/>
                <c:pt idx="0">
                  <c:v>Non-res electricity</c:v>
                </c:pt>
              </c:strCache>
            </c:strRef>
          </c:tx>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Forecast_Main!$H$93:$AY$93</c:f>
              <c:numCache>
                <c:formatCode>#,##0</c:formatCode>
                <c:ptCount val="44"/>
                <c:pt idx="0">
                  <c:v>7061</c:v>
                </c:pt>
                <c:pt idx="1">
                  <c:v>10979</c:v>
                </c:pt>
                <c:pt idx="2">
                  <c:v>15031</c:v>
                </c:pt>
                <c:pt idx="3">
                  <c:v>14084</c:v>
                </c:pt>
                <c:pt idx="4">
                  <c:v>14322</c:v>
                </c:pt>
                <c:pt idx="5">
                  <c:v>18144</c:v>
                </c:pt>
                <c:pt idx="6">
                  <c:v>24117</c:v>
                </c:pt>
                <c:pt idx="7">
                  <c:v>22967</c:v>
                </c:pt>
                <c:pt idx="8">
                  <c:v>18643</c:v>
                </c:pt>
                <c:pt idx="9">
                  <c:v>26424</c:v>
                </c:pt>
                <c:pt idx="10">
                  <c:v>34852</c:v>
                </c:pt>
                <c:pt idx="11">
                  <c:v>43869</c:v>
                </c:pt>
                <c:pt idx="12">
                  <c:v>43384</c:v>
                </c:pt>
                <c:pt idx="13">
                  <c:v>54052</c:v>
                </c:pt>
                <c:pt idx="14">
                  <c:v>70193</c:v>
                </c:pt>
                <c:pt idx="15">
                  <c:v>69198</c:v>
                </c:pt>
                <c:pt idx="16">
                  <c:v>54300</c:v>
                </c:pt>
                <c:pt idx="17">
                  <c:v>37633</c:v>
                </c:pt>
                <c:pt idx="18">
                  <c:v>72090</c:v>
                </c:pt>
                <c:pt idx="19">
                  <c:v>67128</c:v>
                </c:pt>
                <c:pt idx="20">
                  <c:v>70162</c:v>
                </c:pt>
                <c:pt idx="21">
                  <c:v>108611</c:v>
                </c:pt>
                <c:pt idx="22">
                  <c:v>141880</c:v>
                </c:pt>
                <c:pt idx="23">
                  <c:v>139929</c:v>
                </c:pt>
                <c:pt idx="24">
                  <c:v>144219</c:v>
                </c:pt>
                <c:pt idx="25">
                  <c:v>205827</c:v>
                </c:pt>
                <c:pt idx="26">
                  <c:v>264249</c:v>
                </c:pt>
                <c:pt idx="27">
                  <c:v>264419</c:v>
                </c:pt>
                <c:pt idx="28">
                  <c:v>241448</c:v>
                </c:pt>
                <c:pt idx="29">
                  <c:v>301026</c:v>
                </c:pt>
                <c:pt idx="30">
                  <c:v>400546</c:v>
                </c:pt>
                <c:pt idx="31">
                  <c:v>424311</c:v>
                </c:pt>
                <c:pt idx="32">
                  <c:v>349198</c:v>
                </c:pt>
                <c:pt idx="33">
                  <c:v>437381</c:v>
                </c:pt>
                <c:pt idx="34">
                  <c:v>555409</c:v>
                </c:pt>
                <c:pt idx="35">
                  <c:v>560665</c:v>
                </c:pt>
                <c:pt idx="36">
                  <c:v>542119</c:v>
                </c:pt>
                <c:pt idx="37">
                  <c:v>698625.71691000462</c:v>
                </c:pt>
                <c:pt idx="38">
                  <c:v>783633.8128721714</c:v>
                </c:pt>
                <c:pt idx="39">
                  <c:v>866051.62533486634</c:v>
                </c:pt>
                <c:pt idx="40">
                  <c:v>961292.93036678806</c:v>
                </c:pt>
                <c:pt idx="41">
                  <c:v>1082265.4792301357</c:v>
                </c:pt>
                <c:pt idx="42">
                  <c:v>1221346.2565507963</c:v>
                </c:pt>
                <c:pt idx="43">
                  <c:v>1353035.9650564641</c:v>
                </c:pt>
              </c:numCache>
            </c:numRef>
          </c:val>
          <c:smooth val="0"/>
          <c:extLst>
            <c:ext xmlns:c16="http://schemas.microsoft.com/office/drawing/2014/chart" uri="{C3380CC4-5D6E-409C-BE32-E72D297353CC}">
              <c16:uniqueId val="{00000000-B180-4167-973B-2EB7AE9FFD6B}"/>
            </c:ext>
          </c:extLst>
        </c:ser>
        <c:ser>
          <c:idx val="1"/>
          <c:order val="1"/>
          <c:tx>
            <c:strRef>
              <c:f>Forecast_Main!$G$94</c:f>
              <c:strCache>
                <c:ptCount val="1"/>
                <c:pt idx="0">
                  <c:v>Residential electricity</c:v>
                </c:pt>
              </c:strCache>
            </c:strRef>
          </c:tx>
          <c:spPr>
            <a:ln w="38100" cap="rnd">
              <a:solidFill>
                <a:schemeClr val="accent6">
                  <a:lumMod val="75000"/>
                </a:schemeClr>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Forecast_Main!$H$94:$AY$94</c:f>
              <c:numCache>
                <c:formatCode>#,##0</c:formatCode>
                <c:ptCount val="44"/>
                <c:pt idx="0">
                  <c:v>303146.87179607654</c:v>
                </c:pt>
                <c:pt idx="1">
                  <c:v>303146.87179607654</c:v>
                </c:pt>
                <c:pt idx="2">
                  <c:v>303146.87179607654</c:v>
                </c:pt>
                <c:pt idx="3">
                  <c:v>303146.87179607654</c:v>
                </c:pt>
                <c:pt idx="4">
                  <c:v>370506.58883082954</c:v>
                </c:pt>
                <c:pt idx="5">
                  <c:v>370506.58883082954</c:v>
                </c:pt>
                <c:pt idx="6">
                  <c:v>370506.58883082954</c:v>
                </c:pt>
                <c:pt idx="7">
                  <c:v>370506.58883082954</c:v>
                </c:pt>
                <c:pt idx="8">
                  <c:v>500680.88259307639</c:v>
                </c:pt>
                <c:pt idx="9">
                  <c:v>500680.88259307639</c:v>
                </c:pt>
                <c:pt idx="10">
                  <c:v>500680.88259307639</c:v>
                </c:pt>
                <c:pt idx="11">
                  <c:v>500680.88259307639</c:v>
                </c:pt>
                <c:pt idx="12">
                  <c:v>638196.00342913123</c:v>
                </c:pt>
                <c:pt idx="13">
                  <c:v>638196.00342913123</c:v>
                </c:pt>
                <c:pt idx="14">
                  <c:v>638196.00342913123</c:v>
                </c:pt>
                <c:pt idx="15">
                  <c:v>638196.00342913123</c:v>
                </c:pt>
                <c:pt idx="16">
                  <c:v>757108.28298497712</c:v>
                </c:pt>
                <c:pt idx="17">
                  <c:v>757108.28298497712</c:v>
                </c:pt>
                <c:pt idx="18">
                  <c:v>757108.28298497712</c:v>
                </c:pt>
                <c:pt idx="19">
                  <c:v>757108.28298497712</c:v>
                </c:pt>
                <c:pt idx="20">
                  <c:v>957266.83540169825</c:v>
                </c:pt>
                <c:pt idx="21">
                  <c:v>957266.83540169825</c:v>
                </c:pt>
                <c:pt idx="22">
                  <c:v>1153045.1257348137</c:v>
                </c:pt>
                <c:pt idx="23">
                  <c:v>1153045.1257348137</c:v>
                </c:pt>
                <c:pt idx="24">
                  <c:v>1489651.8713259308</c:v>
                </c:pt>
                <c:pt idx="25">
                  <c:v>1489651.8713259308</c:v>
                </c:pt>
                <c:pt idx="26">
                  <c:v>1524823.3834095362</c:v>
                </c:pt>
                <c:pt idx="27">
                  <c:v>1524823.3834095362</c:v>
                </c:pt>
                <c:pt idx="28">
                  <c:v>1710463</c:v>
                </c:pt>
                <c:pt idx="29">
                  <c:v>1710463</c:v>
                </c:pt>
                <c:pt idx="30">
                  <c:v>2152660</c:v>
                </c:pt>
                <c:pt idx="31">
                  <c:v>2152660</c:v>
                </c:pt>
                <c:pt idx="32">
                  <c:v>2184215</c:v>
                </c:pt>
                <c:pt idx="33">
                  <c:v>2184215</c:v>
                </c:pt>
                <c:pt idx="34">
                  <c:v>2498030</c:v>
                </c:pt>
                <c:pt idx="35">
                  <c:v>2498030</c:v>
                </c:pt>
                <c:pt idx="36">
                  <c:v>2639794.6587197911</c:v>
                </c:pt>
                <c:pt idx="37">
                  <c:v>2750175.6245917701</c:v>
                </c:pt>
                <c:pt idx="38">
                  <c:v>2865116.8451992162</c:v>
                </c:pt>
                <c:pt idx="39">
                  <c:v>2979670.4441541475</c:v>
                </c:pt>
                <c:pt idx="40">
                  <c:v>3206155.4955911171</c:v>
                </c:pt>
                <c:pt idx="41">
                  <c:v>3410181.2924559112</c:v>
                </c:pt>
                <c:pt idx="42">
                  <c:v>3617672.8829196603</c:v>
                </c:pt>
                <c:pt idx="43">
                  <c:v>3813649.8301763553</c:v>
                </c:pt>
              </c:numCache>
            </c:numRef>
          </c:val>
          <c:smooth val="0"/>
          <c:extLst>
            <c:ext xmlns:c16="http://schemas.microsoft.com/office/drawing/2014/chart" uri="{C3380CC4-5D6E-409C-BE32-E72D297353CC}">
              <c16:uniqueId val="{00000000-4A0D-4B3B-9BF9-BB238398F600}"/>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low"/>
        <c:spPr>
          <a:noFill/>
          <a:ln w="9525" cap="flat" cmpd="sng" algn="ctr">
            <a:solidFill>
              <a:schemeClr val="tx1">
                <a:lumMod val="15000"/>
                <a:lumOff val="85000"/>
              </a:schemeClr>
            </a:solidFill>
            <a:round/>
          </a:ln>
          <a:effectLst/>
        </c:spPr>
        <c:txPr>
          <a:bodyPr rot="-2880000" spcFirstLastPara="1" vertOverflow="ellipsis" wrap="square" anchor="ctr" anchorCtr="1"/>
          <a:lstStyle/>
          <a:p>
            <a:pPr algn="ctr">
              <a:defRPr lang="en-US"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dispUnits>
          <c:builtInUnit val="millions"/>
          <c:dispUnitsLbl>
            <c:layout>
              <c:manualLayout>
                <c:xMode val="edge"/>
                <c:yMode val="edge"/>
                <c:x val="9.8840635718081236E-3"/>
                <c:y val="0.25792048123171202"/>
              </c:manualLayout>
            </c:layout>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Millions of Gallons</a:t>
                  </a:r>
                </a:p>
              </c:rich>
            </c:tx>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layout>
        <c:manualLayout>
          <c:xMode val="edge"/>
          <c:yMode val="edge"/>
          <c:x val="0.16600115936428189"/>
          <c:y val="0.17750285699933446"/>
          <c:w val="0.71269672962658803"/>
          <c:h val="6.4655778673598813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Ethanol Credits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Forecast_Main!$H$123:$AY$123</c:f>
              <c:numCache>
                <c:formatCode>#,##0</c:formatCode>
                <c:ptCount val="44"/>
                <c:pt idx="0">
                  <c:v>138645.70000000001</c:v>
                </c:pt>
                <c:pt idx="1">
                  <c:v>118783.40000000001</c:v>
                </c:pt>
                <c:pt idx="2">
                  <c:v>134538.4</c:v>
                </c:pt>
                <c:pt idx="3">
                  <c:v>107971.2</c:v>
                </c:pt>
                <c:pt idx="4">
                  <c:v>110453.3</c:v>
                </c:pt>
                <c:pt idx="5">
                  <c:v>116910.40000000001</c:v>
                </c:pt>
                <c:pt idx="6">
                  <c:v>131067</c:v>
                </c:pt>
                <c:pt idx="7">
                  <c:v>121246.8</c:v>
                </c:pt>
                <c:pt idx="8">
                  <c:v>116865.8</c:v>
                </c:pt>
                <c:pt idx="9">
                  <c:v>113534.5</c:v>
                </c:pt>
                <c:pt idx="10">
                  <c:v>134719.80000000002</c:v>
                </c:pt>
                <c:pt idx="11">
                  <c:v>130007.5</c:v>
                </c:pt>
                <c:pt idx="12">
                  <c:v>108480.1</c:v>
                </c:pt>
                <c:pt idx="13">
                  <c:v>127109.7</c:v>
                </c:pt>
                <c:pt idx="14">
                  <c:v>146323.4</c:v>
                </c:pt>
                <c:pt idx="15">
                  <c:v>138932.29999999999</c:v>
                </c:pt>
                <c:pt idx="16">
                  <c:v>122548.8</c:v>
                </c:pt>
                <c:pt idx="17">
                  <c:v>108267.79999999999</c:v>
                </c:pt>
                <c:pt idx="18">
                  <c:v>133980.80000000002</c:v>
                </c:pt>
                <c:pt idx="19">
                  <c:v>123384</c:v>
                </c:pt>
                <c:pt idx="20">
                  <c:v>108415.29999999999</c:v>
                </c:pt>
                <c:pt idx="21">
                  <c:v>150461.5</c:v>
                </c:pt>
                <c:pt idx="22">
                  <c:v>152577.30000000002</c:v>
                </c:pt>
                <c:pt idx="23">
                  <c:v>130180.4</c:v>
                </c:pt>
                <c:pt idx="24">
                  <c:v>115091.6</c:v>
                </c:pt>
                <c:pt idx="25">
                  <c:v>137616.29999999999</c:v>
                </c:pt>
                <c:pt idx="26">
                  <c:v>136068.70000000001</c:v>
                </c:pt>
                <c:pt idx="27">
                  <c:v>119161.70000000001</c:v>
                </c:pt>
                <c:pt idx="28">
                  <c:v>135589</c:v>
                </c:pt>
                <c:pt idx="29">
                  <c:v>133745.60000000001</c:v>
                </c:pt>
                <c:pt idx="30">
                  <c:v>127645.4</c:v>
                </c:pt>
                <c:pt idx="31">
                  <c:v>138423.79999999999</c:v>
                </c:pt>
                <c:pt idx="32">
                  <c:v>111766.9</c:v>
                </c:pt>
                <c:pt idx="33">
                  <c:v>137231.09999999998</c:v>
                </c:pt>
                <c:pt idx="34">
                  <c:v>150675.9</c:v>
                </c:pt>
                <c:pt idx="35">
                  <c:v>123507.40000000001</c:v>
                </c:pt>
                <c:pt idx="36">
                  <c:v>119880.2</c:v>
                </c:pt>
                <c:pt idx="37">
                  <c:v>135370.58299533455</c:v>
                </c:pt>
                <c:pt idx="38">
                  <c:v>126166.65172891178</c:v>
                </c:pt>
                <c:pt idx="39">
                  <c:v>125595.87131984984</c:v>
                </c:pt>
                <c:pt idx="40">
                  <c:v>109446.40528644175</c:v>
                </c:pt>
                <c:pt idx="41">
                  <c:v>124645.95778773664</c:v>
                </c:pt>
                <c:pt idx="42">
                  <c:v>115477.19377153732</c:v>
                </c:pt>
                <c:pt idx="43">
                  <c:v>114492.42137706868</c:v>
                </c:pt>
              </c:numCache>
            </c:numRef>
          </c:val>
          <c:smooth val="0"/>
          <c:extLst>
            <c:ext xmlns:c16="http://schemas.microsoft.com/office/drawing/2014/chart" uri="{C3380CC4-5D6E-409C-BE32-E72D297353CC}">
              <c16:uniqueId val="{00000000-48DF-46DB-8C9D-892C30F3B25C}"/>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min val="1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Metric Tons</a:t>
                </a:r>
              </a:p>
            </c:rich>
          </c:tx>
          <c:layout>
            <c:manualLayout>
              <c:xMode val="edge"/>
              <c:yMode val="edge"/>
              <c:x val="1.9554728182938796E-2"/>
              <c:y val="0.146879591606073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Biodiesel Credits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Forecast_Main!$H$124:$AY$124</c:f>
              <c:numCache>
                <c:formatCode>#,##0</c:formatCode>
                <c:ptCount val="44"/>
                <c:pt idx="0">
                  <c:v>58364.7</c:v>
                </c:pt>
                <c:pt idx="1">
                  <c:v>63917.599999999999</c:v>
                </c:pt>
                <c:pt idx="2">
                  <c:v>75239.95</c:v>
                </c:pt>
                <c:pt idx="3">
                  <c:v>68933.55</c:v>
                </c:pt>
                <c:pt idx="4">
                  <c:v>56946.8</c:v>
                </c:pt>
                <c:pt idx="5">
                  <c:v>82476.800000000003</c:v>
                </c:pt>
                <c:pt idx="6">
                  <c:v>90074.85</c:v>
                </c:pt>
                <c:pt idx="7">
                  <c:v>87098.014302230004</c:v>
                </c:pt>
                <c:pt idx="8">
                  <c:v>72723.646281665031</c:v>
                </c:pt>
                <c:pt idx="9">
                  <c:v>87693.219200915511</c:v>
                </c:pt>
                <c:pt idx="10">
                  <c:v>100409.03239736639</c:v>
                </c:pt>
                <c:pt idx="11">
                  <c:v>90605.683479329469</c:v>
                </c:pt>
                <c:pt idx="12">
                  <c:v>81721.490345357786</c:v>
                </c:pt>
                <c:pt idx="13">
                  <c:v>120443.8281439712</c:v>
                </c:pt>
                <c:pt idx="14">
                  <c:v>123711.940061976</c:v>
                </c:pt>
                <c:pt idx="15">
                  <c:v>115171.98353013491</c:v>
                </c:pt>
                <c:pt idx="16">
                  <c:v>116438.93728911609</c:v>
                </c:pt>
                <c:pt idx="17">
                  <c:v>108452.32783414214</c:v>
                </c:pt>
                <c:pt idx="18">
                  <c:v>124815.28055842798</c:v>
                </c:pt>
                <c:pt idx="19">
                  <c:v>122812.6093460655</c:v>
                </c:pt>
                <c:pt idx="20">
                  <c:v>100830.45139083015</c:v>
                </c:pt>
                <c:pt idx="21">
                  <c:v>141200.02242192338</c:v>
                </c:pt>
                <c:pt idx="22">
                  <c:v>143145.89270382357</c:v>
                </c:pt>
                <c:pt idx="23">
                  <c:v>132020.6741844927</c:v>
                </c:pt>
                <c:pt idx="24">
                  <c:v>115894.38414677588</c:v>
                </c:pt>
                <c:pt idx="25">
                  <c:v>161410.13478653485</c:v>
                </c:pt>
                <c:pt idx="26">
                  <c:v>112478.85200502625</c:v>
                </c:pt>
                <c:pt idx="27">
                  <c:v>153712.9485943527</c:v>
                </c:pt>
                <c:pt idx="28">
                  <c:v>105933.93076444656</c:v>
                </c:pt>
                <c:pt idx="29">
                  <c:v>116825.60656631047</c:v>
                </c:pt>
                <c:pt idx="30">
                  <c:v>126343.92970838754</c:v>
                </c:pt>
                <c:pt idx="31">
                  <c:v>125336.55181474049</c:v>
                </c:pt>
                <c:pt idx="32">
                  <c:v>90769.68573059974</c:v>
                </c:pt>
                <c:pt idx="33">
                  <c:v>114713.72408943708</c:v>
                </c:pt>
                <c:pt idx="34">
                  <c:v>133869.14736921754</c:v>
                </c:pt>
                <c:pt idx="35">
                  <c:v>122744.26496897523</c:v>
                </c:pt>
                <c:pt idx="36">
                  <c:v>74198.658357223088</c:v>
                </c:pt>
                <c:pt idx="37">
                  <c:v>112625.38009012178</c:v>
                </c:pt>
                <c:pt idx="38">
                  <c:v>130171.43526189493</c:v>
                </c:pt>
                <c:pt idx="39">
                  <c:v>137648.70417676313</c:v>
                </c:pt>
                <c:pt idx="40">
                  <c:v>109713.37483783704</c:v>
                </c:pt>
                <c:pt idx="41">
                  <c:v>129902.58835327328</c:v>
                </c:pt>
                <c:pt idx="42">
                  <c:v>150644.48732911816</c:v>
                </c:pt>
                <c:pt idx="43">
                  <c:v>159434.82217892053</c:v>
                </c:pt>
              </c:numCache>
            </c:numRef>
          </c:val>
          <c:smooth val="0"/>
          <c:extLst>
            <c:ext xmlns:c16="http://schemas.microsoft.com/office/drawing/2014/chart" uri="{C3380CC4-5D6E-409C-BE32-E72D297353CC}">
              <c16:uniqueId val="{00000000-F6A9-44FE-9D3F-936C6E802DF8}"/>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Metric Tons</a:t>
                </a:r>
              </a:p>
            </c:rich>
          </c:tx>
          <c:layout>
            <c:manualLayout>
              <c:xMode val="edge"/>
              <c:yMode val="edge"/>
              <c:x val="1.6359800819290112E-2"/>
              <c:y val="0.146879591606073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Biogas Blend Rate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2">
                <a:lumMod val="60000"/>
                <a:lumOff val="40000"/>
              </a:schemeClr>
            </a:solidFill>
            <a:ln>
              <a:noFill/>
            </a:ln>
            <a:effectLst/>
          </c:spPr>
          <c:invertIfNegative val="0"/>
          <c:cat>
            <c:strRef>
              <c:f>Forecast_Main!$H$77:$AY$77</c:f>
              <c:strCache>
                <c:ptCount val="44"/>
                <c:pt idx="0">
                  <c:v>2016 Q1</c:v>
                </c:pt>
                <c:pt idx="1">
                  <c:v>2016 Q2</c:v>
                </c:pt>
                <c:pt idx="2">
                  <c:v>2016 Q3</c:v>
                </c:pt>
                <c:pt idx="3">
                  <c:v>2016 Q4</c:v>
                </c:pt>
                <c:pt idx="4">
                  <c:v>2017 Q1</c:v>
                </c:pt>
                <c:pt idx="5">
                  <c:v>2017 Q2</c:v>
                </c:pt>
                <c:pt idx="6">
                  <c:v>2017 Q3</c:v>
                </c:pt>
                <c:pt idx="7">
                  <c:v>2017 Q4</c:v>
                </c:pt>
                <c:pt idx="8">
                  <c:v>2018 Q1</c:v>
                </c:pt>
                <c:pt idx="9">
                  <c:v>2018 Q2</c:v>
                </c:pt>
                <c:pt idx="10">
                  <c:v>2018 Q3</c:v>
                </c:pt>
                <c:pt idx="11">
                  <c:v>2018 Q4</c:v>
                </c:pt>
                <c:pt idx="12">
                  <c:v>2019 Q1</c:v>
                </c:pt>
                <c:pt idx="13">
                  <c:v>2019 Q2</c:v>
                </c:pt>
                <c:pt idx="14">
                  <c:v>2019 Q3</c:v>
                </c:pt>
                <c:pt idx="15">
                  <c:v>2019 Q4</c:v>
                </c:pt>
                <c:pt idx="16">
                  <c:v>2020 Q1</c:v>
                </c:pt>
                <c:pt idx="17">
                  <c:v>2020 Q2</c:v>
                </c:pt>
                <c:pt idx="18">
                  <c:v>2020 Q3</c:v>
                </c:pt>
                <c:pt idx="19">
                  <c:v>2020 Q4</c:v>
                </c:pt>
                <c:pt idx="20">
                  <c:v>2021 Q1</c:v>
                </c:pt>
                <c:pt idx="21">
                  <c:v>2021 Q2</c:v>
                </c:pt>
                <c:pt idx="22">
                  <c:v>2021 Q3</c:v>
                </c:pt>
                <c:pt idx="23">
                  <c:v>2021 Q4</c:v>
                </c:pt>
                <c:pt idx="24">
                  <c:v>2022 Q1</c:v>
                </c:pt>
                <c:pt idx="25">
                  <c:v>2022 Q2</c:v>
                </c:pt>
                <c:pt idx="26">
                  <c:v>2022 Q3</c:v>
                </c:pt>
                <c:pt idx="27">
                  <c:v>2022 Q4</c:v>
                </c:pt>
                <c:pt idx="28">
                  <c:v>2023 Q1</c:v>
                </c:pt>
                <c:pt idx="29">
                  <c:v>2023 Q2</c:v>
                </c:pt>
                <c:pt idx="30">
                  <c:v>2023 Q3</c:v>
                </c:pt>
                <c:pt idx="31">
                  <c:v>2023 Q4</c:v>
                </c:pt>
                <c:pt idx="32">
                  <c:v>2024 Q1</c:v>
                </c:pt>
                <c:pt idx="33">
                  <c:v>2024 Q2</c:v>
                </c:pt>
                <c:pt idx="34">
                  <c:v>2024 Q3</c:v>
                </c:pt>
                <c:pt idx="35">
                  <c:v>2024 Q4</c:v>
                </c:pt>
                <c:pt idx="36">
                  <c:v>2025 Q1</c:v>
                </c:pt>
                <c:pt idx="37">
                  <c:v>2025 Q2</c:v>
                </c:pt>
                <c:pt idx="38">
                  <c:v>2025 Q3</c:v>
                </c:pt>
                <c:pt idx="39">
                  <c:v>2025 Q4</c:v>
                </c:pt>
                <c:pt idx="40">
                  <c:v>2026 Q1</c:v>
                </c:pt>
                <c:pt idx="41">
                  <c:v>2026 Q2</c:v>
                </c:pt>
                <c:pt idx="42">
                  <c:v>2026 Q3</c:v>
                </c:pt>
                <c:pt idx="43">
                  <c:v>2026 Q4</c:v>
                </c:pt>
              </c:strCache>
            </c:strRef>
          </c:cat>
          <c:val>
            <c:numRef>
              <c:f>Forecast_Main!$H$107:$AY$107</c:f>
              <c:numCache>
                <c:formatCode>0.0%</c:formatCode>
                <c:ptCount val="44"/>
                <c:pt idx="0">
                  <c:v>0.64920611692397745</c:v>
                </c:pt>
                <c:pt idx="1">
                  <c:v>0.49338282567293812</c:v>
                </c:pt>
                <c:pt idx="2">
                  <c:v>0.55478202866496396</c:v>
                </c:pt>
                <c:pt idx="3">
                  <c:v>0.66845292697081449</c:v>
                </c:pt>
                <c:pt idx="4">
                  <c:v>0.64124842226047041</c:v>
                </c:pt>
                <c:pt idx="5">
                  <c:v>0.70583154026165762</c:v>
                </c:pt>
                <c:pt idx="6">
                  <c:v>0.652010896137459</c:v>
                </c:pt>
                <c:pt idx="7">
                  <c:v>0.68001596739159254</c:v>
                </c:pt>
                <c:pt idx="8">
                  <c:v>0.41432874131566033</c:v>
                </c:pt>
                <c:pt idx="9">
                  <c:v>0.55602172461517607</c:v>
                </c:pt>
                <c:pt idx="10">
                  <c:v>0.59580476505126589</c:v>
                </c:pt>
                <c:pt idx="11">
                  <c:v>0.62809467215456949</c:v>
                </c:pt>
                <c:pt idx="12">
                  <c:v>0.63391572792612072</c:v>
                </c:pt>
                <c:pt idx="13">
                  <c:v>0.66258595087158512</c:v>
                </c:pt>
                <c:pt idx="14">
                  <c:v>0.64416266083102391</c:v>
                </c:pt>
                <c:pt idx="15">
                  <c:v>0.74474893508587303</c:v>
                </c:pt>
                <c:pt idx="16">
                  <c:v>0.78592379588208405</c:v>
                </c:pt>
                <c:pt idx="17">
                  <c:v>0.88568626348569746</c:v>
                </c:pt>
                <c:pt idx="18">
                  <c:v>0.94136310630575315</c:v>
                </c:pt>
                <c:pt idx="19">
                  <c:v>0.93672944620294185</c:v>
                </c:pt>
                <c:pt idx="20">
                  <c:v>0.83957922124528983</c:v>
                </c:pt>
                <c:pt idx="21">
                  <c:v>0.85749138154083704</c:v>
                </c:pt>
                <c:pt idx="22">
                  <c:v>0.96060132467020432</c:v>
                </c:pt>
                <c:pt idx="23">
                  <c:v>0.99050879468729092</c:v>
                </c:pt>
                <c:pt idx="24">
                  <c:v>0.99766147935011462</c:v>
                </c:pt>
                <c:pt idx="25">
                  <c:v>0.92130159662166766</c:v>
                </c:pt>
                <c:pt idx="26">
                  <c:v>0.9278276557730023</c:v>
                </c:pt>
                <c:pt idx="27">
                  <c:v>0.91721388781590629</c:v>
                </c:pt>
                <c:pt idx="28" formatCode="0.00%">
                  <c:v>0.9920226554973105</c:v>
                </c:pt>
                <c:pt idx="29" formatCode="0.00%">
                  <c:v>0.99001657406648425</c:v>
                </c:pt>
                <c:pt idx="30" formatCode="0.00%">
                  <c:v>0.98944888063800562</c:v>
                </c:pt>
                <c:pt idx="31" formatCode="0.00%">
                  <c:v>0.99158739104413873</c:v>
                </c:pt>
                <c:pt idx="32" formatCode="0.00%">
                  <c:v>0.99681331221180014</c:v>
                </c:pt>
                <c:pt idx="33" formatCode="0.00%">
                  <c:v>0.99208373962707208</c:v>
                </c:pt>
                <c:pt idx="34" formatCode="0.00%">
                  <c:v>0.99695175687690696</c:v>
                </c:pt>
                <c:pt idx="35" formatCode="0.00%">
                  <c:v>0.99686690190769522</c:v>
                </c:pt>
                <c:pt idx="36" formatCode="0.00%">
                  <c:v>0.99639844794527921</c:v>
                </c:pt>
                <c:pt idx="37">
                  <c:v>0.99</c:v>
                </c:pt>
                <c:pt idx="38">
                  <c:v>0.99</c:v>
                </c:pt>
                <c:pt idx="39">
                  <c:v>0.99</c:v>
                </c:pt>
                <c:pt idx="40">
                  <c:v>0.99</c:v>
                </c:pt>
                <c:pt idx="41">
                  <c:v>0.99</c:v>
                </c:pt>
                <c:pt idx="42">
                  <c:v>0.99</c:v>
                </c:pt>
                <c:pt idx="43">
                  <c:v>0.99</c:v>
                </c:pt>
              </c:numCache>
            </c:numRef>
          </c:val>
          <c:extLst>
            <c:ext xmlns:c16="http://schemas.microsoft.com/office/drawing/2014/chart" uri="{C3380CC4-5D6E-409C-BE32-E72D297353CC}">
              <c16:uniqueId val="{00000000-7D61-48B1-8CDF-2A0743F59DA7}"/>
            </c:ext>
          </c:extLst>
        </c:ser>
        <c:dLbls>
          <c:showLegendKey val="0"/>
          <c:showVal val="0"/>
          <c:showCatName val="0"/>
          <c:showSerName val="0"/>
          <c:showPercent val="0"/>
          <c:showBubbleSize val="0"/>
        </c:dLbls>
        <c:gapWidth val="75"/>
        <c:overlap val="-27"/>
        <c:axId val="1862246543"/>
        <c:axId val="1862248207"/>
      </c:barChart>
      <c:catAx>
        <c:axId val="186224654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366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62248207"/>
        <c:crosses val="autoZero"/>
        <c:auto val="1"/>
        <c:lblAlgn val="ctr"/>
        <c:lblOffset val="100"/>
        <c:tickLblSkip val="4"/>
        <c:noMultiLvlLbl val="0"/>
      </c:catAx>
      <c:valAx>
        <c:axId val="1862248207"/>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w="19050">
            <a:solidFill>
              <a:schemeClr val="bg1">
                <a:lumMod val="65000"/>
              </a:schemeClr>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62246543"/>
        <c:crossesAt val="36"/>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Renewable Diesel Credits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Forecast_Main!$H$125:$AY$125</c:f>
              <c:numCache>
                <c:formatCode>#,##0</c:formatCode>
                <c:ptCount val="44"/>
                <c:pt idx="0">
                  <c:v>0</c:v>
                </c:pt>
                <c:pt idx="1">
                  <c:v>0</c:v>
                </c:pt>
                <c:pt idx="2">
                  <c:v>0</c:v>
                </c:pt>
                <c:pt idx="3">
                  <c:v>0</c:v>
                </c:pt>
                <c:pt idx="4">
                  <c:v>0</c:v>
                </c:pt>
                <c:pt idx="5">
                  <c:v>0</c:v>
                </c:pt>
                <c:pt idx="6">
                  <c:v>0</c:v>
                </c:pt>
                <c:pt idx="7">
                  <c:v>2863.335697769985</c:v>
                </c:pt>
                <c:pt idx="8">
                  <c:v>1949.0037183349648</c:v>
                </c:pt>
                <c:pt idx="9">
                  <c:v>1637.830799084486</c:v>
                </c:pt>
                <c:pt idx="10">
                  <c:v>1800.9176026336174</c:v>
                </c:pt>
                <c:pt idx="11">
                  <c:v>4037.2165206705317</c:v>
                </c:pt>
                <c:pt idx="12">
                  <c:v>907.0096546422235</c:v>
                </c:pt>
                <c:pt idx="13">
                  <c:v>3104.2718560287944</c:v>
                </c:pt>
                <c:pt idx="14">
                  <c:v>98816.909938023993</c:v>
                </c:pt>
                <c:pt idx="15">
                  <c:v>38391.316469865094</c:v>
                </c:pt>
                <c:pt idx="16">
                  <c:v>64214.612710883906</c:v>
                </c:pt>
                <c:pt idx="17">
                  <c:v>53572.322165857855</c:v>
                </c:pt>
                <c:pt idx="18">
                  <c:v>852.7194415720254</c:v>
                </c:pt>
                <c:pt idx="19">
                  <c:v>29037.9406539345</c:v>
                </c:pt>
                <c:pt idx="20">
                  <c:v>28226.498609169852</c:v>
                </c:pt>
                <c:pt idx="21">
                  <c:v>11937.677578076629</c:v>
                </c:pt>
                <c:pt idx="22">
                  <c:v>20057.107296176418</c:v>
                </c:pt>
                <c:pt idx="23">
                  <c:v>14240.225815507303</c:v>
                </c:pt>
                <c:pt idx="24">
                  <c:v>90083.315853224121</c:v>
                </c:pt>
                <c:pt idx="25">
                  <c:v>35542.415213465152</c:v>
                </c:pt>
                <c:pt idx="26">
                  <c:v>83445.747994973746</c:v>
                </c:pt>
                <c:pt idx="27">
                  <c:v>124374.25140564729</c:v>
                </c:pt>
                <c:pt idx="28">
                  <c:v>142266.76923555342</c:v>
                </c:pt>
                <c:pt idx="29">
                  <c:v>207113.29343368954</c:v>
                </c:pt>
                <c:pt idx="30">
                  <c:v>306207.12029161246</c:v>
                </c:pt>
                <c:pt idx="31">
                  <c:v>303139.49818525946</c:v>
                </c:pt>
                <c:pt idx="32">
                  <c:v>425841.46426940023</c:v>
                </c:pt>
                <c:pt idx="33">
                  <c:v>318590.47591056291</c:v>
                </c:pt>
                <c:pt idx="34">
                  <c:v>274440.25263078243</c:v>
                </c:pt>
                <c:pt idx="35">
                  <c:v>211372.98503102476</c:v>
                </c:pt>
                <c:pt idx="36">
                  <c:v>117553.3916427769</c:v>
                </c:pt>
                <c:pt idx="37">
                  <c:v>256963.60873073171</c:v>
                </c:pt>
                <c:pt idx="38">
                  <c:v>296996.30520038656</c:v>
                </c:pt>
                <c:pt idx="39">
                  <c:v>314056.27873634425</c:v>
                </c:pt>
                <c:pt idx="40">
                  <c:v>273313.83228123729</c:v>
                </c:pt>
                <c:pt idx="41">
                  <c:v>323608.4415283227</c:v>
                </c:pt>
                <c:pt idx="42">
                  <c:v>375279.88000387436</c:v>
                </c:pt>
                <c:pt idx="43">
                  <c:v>397178.03151353187</c:v>
                </c:pt>
              </c:numCache>
            </c:numRef>
          </c:val>
          <c:smooth val="0"/>
          <c:extLst>
            <c:ext xmlns:c16="http://schemas.microsoft.com/office/drawing/2014/chart" uri="{C3380CC4-5D6E-409C-BE32-E72D297353CC}">
              <c16:uniqueId val="{00000000-C742-46D1-B14C-69EADA1742AA}"/>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Metric Tons</a:t>
                </a:r>
              </a:p>
            </c:rich>
          </c:tx>
          <c:layout>
            <c:manualLayout>
              <c:xMode val="edge"/>
              <c:yMode val="edge"/>
              <c:x val="1.0109990157480315E-2"/>
              <c:y val="0.146879591606073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On-road Electricity Credits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Forecast_Main!$H$126:$AY$126</c:f>
              <c:numCache>
                <c:formatCode>#,##0</c:formatCode>
                <c:ptCount val="44"/>
                <c:pt idx="0">
                  <c:v>8573</c:v>
                </c:pt>
                <c:pt idx="1">
                  <c:v>8574</c:v>
                </c:pt>
                <c:pt idx="2">
                  <c:v>8573</c:v>
                </c:pt>
                <c:pt idx="3">
                  <c:v>8574</c:v>
                </c:pt>
                <c:pt idx="4">
                  <c:v>10301</c:v>
                </c:pt>
                <c:pt idx="5">
                  <c:v>10301</c:v>
                </c:pt>
                <c:pt idx="6">
                  <c:v>10301</c:v>
                </c:pt>
                <c:pt idx="7">
                  <c:v>10301</c:v>
                </c:pt>
                <c:pt idx="8">
                  <c:v>14222</c:v>
                </c:pt>
                <c:pt idx="9">
                  <c:v>14222</c:v>
                </c:pt>
                <c:pt idx="10">
                  <c:v>14223</c:v>
                </c:pt>
                <c:pt idx="11">
                  <c:v>14223</c:v>
                </c:pt>
                <c:pt idx="12">
                  <c:v>18317</c:v>
                </c:pt>
                <c:pt idx="13">
                  <c:v>18317</c:v>
                </c:pt>
                <c:pt idx="14">
                  <c:v>18318</c:v>
                </c:pt>
                <c:pt idx="15">
                  <c:v>18318</c:v>
                </c:pt>
                <c:pt idx="16">
                  <c:v>24872</c:v>
                </c:pt>
                <c:pt idx="17">
                  <c:v>24872</c:v>
                </c:pt>
                <c:pt idx="18">
                  <c:v>24872</c:v>
                </c:pt>
                <c:pt idx="19">
                  <c:v>24872</c:v>
                </c:pt>
                <c:pt idx="20">
                  <c:v>32995.5</c:v>
                </c:pt>
                <c:pt idx="21">
                  <c:v>32995.5</c:v>
                </c:pt>
                <c:pt idx="22">
                  <c:v>39353</c:v>
                </c:pt>
                <c:pt idx="23">
                  <c:v>39352</c:v>
                </c:pt>
                <c:pt idx="24">
                  <c:v>46402</c:v>
                </c:pt>
                <c:pt idx="25">
                  <c:v>46402</c:v>
                </c:pt>
                <c:pt idx="26">
                  <c:v>47330</c:v>
                </c:pt>
                <c:pt idx="27">
                  <c:v>47330</c:v>
                </c:pt>
                <c:pt idx="28">
                  <c:v>66706</c:v>
                </c:pt>
                <c:pt idx="29">
                  <c:v>66706</c:v>
                </c:pt>
                <c:pt idx="30">
                  <c:v>75605</c:v>
                </c:pt>
                <c:pt idx="31">
                  <c:v>75605</c:v>
                </c:pt>
                <c:pt idx="32">
                  <c:v>73443</c:v>
                </c:pt>
                <c:pt idx="33">
                  <c:v>73443</c:v>
                </c:pt>
                <c:pt idx="34">
                  <c:v>83949</c:v>
                </c:pt>
                <c:pt idx="35">
                  <c:v>83949</c:v>
                </c:pt>
                <c:pt idx="36">
                  <c:v>91732.860392354996</c:v>
                </c:pt>
                <c:pt idx="37">
                  <c:v>91732.860392354996</c:v>
                </c:pt>
                <c:pt idx="38">
                  <c:v>91732.860392354996</c:v>
                </c:pt>
                <c:pt idx="39">
                  <c:v>91732.860392354996</c:v>
                </c:pt>
                <c:pt idx="40">
                  <c:v>105371.29399420801</c:v>
                </c:pt>
                <c:pt idx="41">
                  <c:v>105371.29399420801</c:v>
                </c:pt>
                <c:pt idx="42">
                  <c:v>105371.29399420801</c:v>
                </c:pt>
                <c:pt idx="43">
                  <c:v>105371.29399420801</c:v>
                </c:pt>
              </c:numCache>
            </c:numRef>
          </c:val>
          <c:smooth val="0"/>
          <c:extLst>
            <c:ext xmlns:c16="http://schemas.microsoft.com/office/drawing/2014/chart" uri="{C3380CC4-5D6E-409C-BE32-E72D297353CC}">
              <c16:uniqueId val="{00000000-66BB-4783-8CDF-2C653C014582}"/>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Metric Tons</a:t>
                </a:r>
              </a:p>
            </c:rich>
          </c:tx>
          <c:layout>
            <c:manualLayout>
              <c:xMode val="edge"/>
              <c:yMode val="edge"/>
              <c:x val="1.6359955005624299E-2"/>
              <c:y val="0.1428923507767271"/>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Total Off-Road</a:t>
            </a:r>
            <a:r>
              <a:rPr lang="en-US" sz="1600" b="1" baseline="0"/>
              <a:t> Electricity</a:t>
            </a:r>
          </a:p>
          <a:p>
            <a:pPr>
              <a:defRPr/>
            </a:pPr>
            <a:r>
              <a:rPr lang="en-US" sz="1100" i="1" baseline="0"/>
              <a:t>(CFP Reported, quarterly)</a:t>
            </a:r>
            <a:endParaRPr lang="en-US" sz="11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38100" cap="rnd">
              <a:solidFill>
                <a:schemeClr val="accent1"/>
              </a:solidFill>
              <a:round/>
            </a:ln>
            <a:effectLst/>
          </c:spPr>
          <c:marker>
            <c:symbol val="none"/>
          </c:marker>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Forecast_Main!$H$102:$AY$102</c:f>
              <c:numCache>
                <c:formatCode>#,##0</c:formatCode>
                <c:ptCount val="44"/>
                <c:pt idx="0">
                  <c:v>0</c:v>
                </c:pt>
                <c:pt idx="1">
                  <c:v>0</c:v>
                </c:pt>
                <c:pt idx="2">
                  <c:v>0</c:v>
                </c:pt>
                <c:pt idx="3">
                  <c:v>0</c:v>
                </c:pt>
                <c:pt idx="4">
                  <c:v>0</c:v>
                </c:pt>
                <c:pt idx="5">
                  <c:v>0</c:v>
                </c:pt>
                <c:pt idx="6">
                  <c:v>0</c:v>
                </c:pt>
                <c:pt idx="7">
                  <c:v>0</c:v>
                </c:pt>
                <c:pt idx="8">
                  <c:v>431079</c:v>
                </c:pt>
                <c:pt idx="9">
                  <c:v>422832</c:v>
                </c:pt>
                <c:pt idx="10">
                  <c:v>440204</c:v>
                </c:pt>
                <c:pt idx="11">
                  <c:v>433671</c:v>
                </c:pt>
                <c:pt idx="12">
                  <c:v>477625</c:v>
                </c:pt>
                <c:pt idx="13">
                  <c:v>490452</c:v>
                </c:pt>
                <c:pt idx="14">
                  <c:v>605468</c:v>
                </c:pt>
                <c:pt idx="15">
                  <c:v>647037</c:v>
                </c:pt>
                <c:pt idx="16">
                  <c:v>690933</c:v>
                </c:pt>
                <c:pt idx="17">
                  <c:v>710134</c:v>
                </c:pt>
                <c:pt idx="18">
                  <c:v>871512</c:v>
                </c:pt>
                <c:pt idx="19">
                  <c:v>961477</c:v>
                </c:pt>
                <c:pt idx="20">
                  <c:v>969710</c:v>
                </c:pt>
                <c:pt idx="21">
                  <c:v>1280664</c:v>
                </c:pt>
                <c:pt idx="22">
                  <c:v>1312785</c:v>
                </c:pt>
                <c:pt idx="23">
                  <c:v>1412985</c:v>
                </c:pt>
                <c:pt idx="24">
                  <c:v>1557283</c:v>
                </c:pt>
                <c:pt idx="25">
                  <c:v>1557120</c:v>
                </c:pt>
                <c:pt idx="26">
                  <c:v>1524201</c:v>
                </c:pt>
                <c:pt idx="27">
                  <c:v>1701933</c:v>
                </c:pt>
                <c:pt idx="28">
                  <c:v>925691</c:v>
                </c:pt>
                <c:pt idx="29">
                  <c:v>1182322</c:v>
                </c:pt>
                <c:pt idx="30">
                  <c:v>1082898</c:v>
                </c:pt>
                <c:pt idx="31">
                  <c:v>1131100</c:v>
                </c:pt>
                <c:pt idx="32">
                  <c:v>1119864</c:v>
                </c:pt>
                <c:pt idx="33">
                  <c:v>1075270</c:v>
                </c:pt>
                <c:pt idx="34">
                  <c:v>937944</c:v>
                </c:pt>
                <c:pt idx="35">
                  <c:v>1011444</c:v>
                </c:pt>
                <c:pt idx="36">
                  <c:v>1231850.4000000001</c:v>
                </c:pt>
                <c:pt idx="37">
                  <c:v>1182797</c:v>
                </c:pt>
                <c:pt idx="38">
                  <c:v>1031738.4000000001</c:v>
                </c:pt>
                <c:pt idx="39">
                  <c:v>1112588.4000000001</c:v>
                </c:pt>
                <c:pt idx="40">
                  <c:v>1416627.96</c:v>
                </c:pt>
                <c:pt idx="41">
                  <c:v>1360216.5499999998</c:v>
                </c:pt>
                <c:pt idx="42">
                  <c:v>1186499.1600000001</c:v>
                </c:pt>
                <c:pt idx="43">
                  <c:v>1279476.6600000001</c:v>
                </c:pt>
              </c:numCache>
            </c:numRef>
          </c:val>
          <c:smooth val="0"/>
          <c:extLst>
            <c:ext xmlns:c16="http://schemas.microsoft.com/office/drawing/2014/chart" uri="{C3380CC4-5D6E-409C-BE32-E72D297353CC}">
              <c16:uniqueId val="{00000000-3A86-48B8-B4FC-CF156E57BACC}"/>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288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2"/>
        <c:majorTimeUnit val="months"/>
      </c:dateAx>
      <c:valAx>
        <c:axId val="3996702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low"/>
        <c:spPr>
          <a:noFill/>
          <a:ln w="25400">
            <a:solidFill>
              <a:schemeClr val="tx1"/>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366170760"/>
        <c:crossesAt val="45658"/>
        <c:crossBetween val="between"/>
        <c:dispUnits>
          <c:builtInUnit val="millions"/>
          <c:dispUnitsLbl>
            <c:layout>
              <c:manualLayout>
                <c:xMode val="edge"/>
                <c:yMode val="edge"/>
                <c:x val="1.9086663851561141E-2"/>
                <c:y val="0.19013738713282849"/>
              </c:manualLayout>
            </c:layout>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Millions of Gallons</a:t>
                  </a:r>
                </a:p>
              </c:rich>
            </c:tx>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Non-Res KWh per Vehicle</a:t>
            </a:r>
          </a:p>
        </c:rich>
      </c:tx>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trendline>
            <c:spPr>
              <a:ln w="31750" cap="rnd">
                <a:solidFill>
                  <a:schemeClr val="accent1">
                    <a:lumMod val="50000"/>
                  </a:schemeClr>
                </a:solidFill>
                <a:prstDash val="sysDash"/>
              </a:ln>
              <a:effectLst/>
            </c:spPr>
            <c:trendlineType val="linear"/>
            <c:dispRSqr val="0"/>
            <c:dispEq val="0"/>
          </c:trendline>
          <c:cat>
            <c:numRef>
              <c:f>Forecast_Main!$H$78:$AY$78</c:f>
              <c:numCache>
                <c:formatCode>m/d/yyyy</c:formatCode>
                <c:ptCount val="44"/>
                <c:pt idx="0">
                  <c:v>42370</c:v>
                </c:pt>
                <c:pt idx="1">
                  <c:v>42461</c:v>
                </c:pt>
                <c:pt idx="2">
                  <c:v>42552</c:v>
                </c:pt>
                <c:pt idx="3">
                  <c:v>42644</c:v>
                </c:pt>
                <c:pt idx="4">
                  <c:v>42736</c:v>
                </c:pt>
                <c:pt idx="5">
                  <c:v>42826</c:v>
                </c:pt>
                <c:pt idx="6">
                  <c:v>42917</c:v>
                </c:pt>
                <c:pt idx="7">
                  <c:v>43009</c:v>
                </c:pt>
                <c:pt idx="8">
                  <c:v>43101</c:v>
                </c:pt>
                <c:pt idx="9">
                  <c:v>43191</c:v>
                </c:pt>
                <c:pt idx="10">
                  <c:v>43282</c:v>
                </c:pt>
                <c:pt idx="11">
                  <c:v>43374</c:v>
                </c:pt>
                <c:pt idx="12">
                  <c:v>43466</c:v>
                </c:pt>
                <c:pt idx="13">
                  <c:v>43556</c:v>
                </c:pt>
                <c:pt idx="14">
                  <c:v>43647</c:v>
                </c:pt>
                <c:pt idx="15">
                  <c:v>43739</c:v>
                </c:pt>
                <c:pt idx="16">
                  <c:v>43831</c:v>
                </c:pt>
                <c:pt idx="17">
                  <c:v>43922</c:v>
                </c:pt>
                <c:pt idx="18">
                  <c:v>44013</c:v>
                </c:pt>
                <c:pt idx="19">
                  <c:v>44105</c:v>
                </c:pt>
                <c:pt idx="20">
                  <c:v>44197</c:v>
                </c:pt>
                <c:pt idx="21">
                  <c:v>44287</c:v>
                </c:pt>
                <c:pt idx="22">
                  <c:v>44378</c:v>
                </c:pt>
                <c:pt idx="23">
                  <c:v>44470</c:v>
                </c:pt>
                <c:pt idx="24">
                  <c:v>44562</c:v>
                </c:pt>
                <c:pt idx="25">
                  <c:v>44652</c:v>
                </c:pt>
                <c:pt idx="26">
                  <c:v>44743</c:v>
                </c:pt>
                <c:pt idx="27">
                  <c:v>44835</c:v>
                </c:pt>
                <c:pt idx="28">
                  <c:v>44927</c:v>
                </c:pt>
                <c:pt idx="29">
                  <c:v>45017</c:v>
                </c:pt>
                <c:pt idx="30">
                  <c:v>45108</c:v>
                </c:pt>
                <c:pt idx="31">
                  <c:v>45200</c:v>
                </c:pt>
                <c:pt idx="32">
                  <c:v>45292</c:v>
                </c:pt>
                <c:pt idx="33">
                  <c:v>45383</c:v>
                </c:pt>
                <c:pt idx="34">
                  <c:v>45474</c:v>
                </c:pt>
                <c:pt idx="35">
                  <c:v>45566</c:v>
                </c:pt>
                <c:pt idx="36">
                  <c:v>45658</c:v>
                </c:pt>
                <c:pt idx="37">
                  <c:v>45748</c:v>
                </c:pt>
                <c:pt idx="38">
                  <c:v>45839</c:v>
                </c:pt>
                <c:pt idx="39">
                  <c:v>45931</c:v>
                </c:pt>
                <c:pt idx="40">
                  <c:v>46023</c:v>
                </c:pt>
                <c:pt idx="41">
                  <c:v>46113</c:v>
                </c:pt>
                <c:pt idx="42">
                  <c:v>46204</c:v>
                </c:pt>
                <c:pt idx="43">
                  <c:v>46296</c:v>
                </c:pt>
              </c:numCache>
            </c:numRef>
          </c:cat>
          <c:val>
            <c:numRef>
              <c:f>Forecast_Main!$H$99:$AY$99</c:f>
              <c:numCache>
                <c:formatCode>#,##0</c:formatCode>
                <c:ptCount val="44"/>
                <c:pt idx="0">
                  <c:v>0</c:v>
                </c:pt>
                <c:pt idx="1">
                  <c:v>0</c:v>
                </c:pt>
                <c:pt idx="2">
                  <c:v>0</c:v>
                </c:pt>
                <c:pt idx="3">
                  <c:v>0</c:v>
                </c:pt>
                <c:pt idx="4">
                  <c:v>0</c:v>
                </c:pt>
                <c:pt idx="5">
                  <c:v>0</c:v>
                </c:pt>
                <c:pt idx="6">
                  <c:v>0</c:v>
                </c:pt>
                <c:pt idx="7">
                  <c:v>0</c:v>
                </c:pt>
                <c:pt idx="8">
                  <c:v>0</c:v>
                </c:pt>
                <c:pt idx="9">
                  <c:v>0</c:v>
                </c:pt>
                <c:pt idx="10">
                  <c:v>0</c:v>
                </c:pt>
                <c:pt idx="11">
                  <c:v>0</c:v>
                </c:pt>
                <c:pt idx="12">
                  <c:v>59.644404933482399</c:v>
                </c:pt>
                <c:pt idx="13">
                  <c:v>69.882924398843073</c:v>
                </c:pt>
                <c:pt idx="14">
                  <c:v>84.01484061370077</c:v>
                </c:pt>
                <c:pt idx="15">
                  <c:v>77.847686440491145</c:v>
                </c:pt>
                <c:pt idx="16">
                  <c:v>57.749505053662595</c:v>
                </c:pt>
                <c:pt idx="17">
                  <c:v>39.798523169590283</c:v>
                </c:pt>
                <c:pt idx="18">
                  <c:v>73.77092670015341</c:v>
                </c:pt>
                <c:pt idx="19">
                  <c:v>64.946501729939811</c:v>
                </c:pt>
                <c:pt idx="20">
                  <c:v>64.039360310008192</c:v>
                </c:pt>
                <c:pt idx="21">
                  <c:v>93.218657360690656</c:v>
                </c:pt>
                <c:pt idx="22">
                  <c:v>112.26795257439969</c:v>
                </c:pt>
                <c:pt idx="23">
                  <c:v>101.92681039958323</c:v>
                </c:pt>
                <c:pt idx="24">
                  <c:v>98.697567418969854</c:v>
                </c:pt>
                <c:pt idx="25">
                  <c:v>131.85012395423422</c:v>
                </c:pt>
                <c:pt idx="26">
                  <c:v>155.65259440087257</c:v>
                </c:pt>
                <c:pt idx="27">
                  <c:v>143.76313567146792</c:v>
                </c:pt>
                <c:pt idx="28">
                  <c:v>121.00576718485564</c:v>
                </c:pt>
                <c:pt idx="29">
                  <c:v>141.7656169686567</c:v>
                </c:pt>
                <c:pt idx="30">
                  <c:v>172.25970196210619</c:v>
                </c:pt>
                <c:pt idx="31">
                  <c:v>169.83932719985569</c:v>
                </c:pt>
                <c:pt idx="32">
                  <c:v>129.76344225389715</c:v>
                </c:pt>
                <c:pt idx="33">
                  <c:v>151.41254568908698</c:v>
                </c:pt>
                <c:pt idx="34">
                  <c:v>180.58341382093104</c:v>
                </c:pt>
                <c:pt idx="35">
                  <c:v>182.29232819401972</c:v>
                </c:pt>
                <c:pt idx="36">
                  <c:v>159.3111846259859</c:v>
                </c:pt>
                <c:pt idx="37">
                  <c:v>197.06337844274336</c:v>
                </c:pt>
                <c:pt idx="38">
                  <c:v>212.17421947526833</c:v>
                </c:pt>
                <c:pt idx="39">
                  <c:v>225.47444791138327</c:v>
                </c:pt>
                <c:pt idx="40">
                  <c:v>232.59102428360148</c:v>
                </c:pt>
                <c:pt idx="41">
                  <c:v>246.19437311737354</c:v>
                </c:pt>
                <c:pt idx="42">
                  <c:v>261.89746535475274</c:v>
                </c:pt>
                <c:pt idx="43">
                  <c:v>275.22654061922998</c:v>
                </c:pt>
              </c:numCache>
            </c:numRef>
          </c:val>
          <c:smooth val="0"/>
          <c:extLst>
            <c:ext xmlns:c16="http://schemas.microsoft.com/office/drawing/2014/chart" uri="{C3380CC4-5D6E-409C-BE32-E72D297353CC}">
              <c16:uniqueId val="{00000000-80DC-4F62-BDCF-03C49D3BA7AA}"/>
            </c:ext>
          </c:extLst>
        </c:ser>
        <c:dLbls>
          <c:showLegendKey val="0"/>
          <c:showVal val="0"/>
          <c:showCatName val="0"/>
          <c:showSerName val="0"/>
          <c:showPercent val="0"/>
          <c:showBubbleSize val="0"/>
        </c:dLbls>
        <c:smooth val="0"/>
        <c:axId val="366170760"/>
        <c:axId val="399670200"/>
      </c:lineChart>
      <c:dateAx>
        <c:axId val="366170760"/>
        <c:scaling>
          <c:orientation val="minMax"/>
        </c:scaling>
        <c:delete val="0"/>
        <c:axPos val="b"/>
        <c:numFmt formatCode="yyyy" sourceLinked="0"/>
        <c:majorTickMark val="none"/>
        <c:minorTickMark val="none"/>
        <c:tickLblPos val="nextTo"/>
        <c:spPr>
          <a:noFill/>
          <a:ln w="19050" cap="flat" cmpd="sng" algn="ctr">
            <a:solidFill>
              <a:schemeClr val="tx1">
                <a:lumMod val="75000"/>
                <a:lumOff val="25000"/>
              </a:schemeClr>
            </a:solidFill>
            <a:round/>
          </a:ln>
          <a:effectLst/>
        </c:spPr>
        <c:txPr>
          <a:bodyPr rot="-2880000" spcFirstLastPara="1" vertOverflow="ellipsis"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99670200"/>
        <c:crosses val="autoZero"/>
        <c:auto val="1"/>
        <c:lblOffset val="100"/>
        <c:baseTimeUnit val="months"/>
        <c:majorUnit val="1"/>
        <c:majorTimeUnit val="years"/>
      </c:dateAx>
      <c:valAx>
        <c:axId val="39967020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w="25400">
            <a:solidFill>
              <a:schemeClr val="tx1">
                <a:lumMod val="75000"/>
                <a:lumOff val="25000"/>
              </a:schemeClr>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66170760"/>
        <c:crossesAt val="45292"/>
        <c:crossBetween val="between"/>
      </c:valAx>
      <c:spPr>
        <a:noFill/>
        <a:ln>
          <a:noFill/>
        </a:ln>
        <a:effectLst/>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Liquid Petroleum Gas Blend Rate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2">
                <a:lumMod val="60000"/>
                <a:lumOff val="40000"/>
              </a:schemeClr>
            </a:solidFill>
            <a:ln>
              <a:noFill/>
            </a:ln>
            <a:effectLst/>
          </c:spPr>
          <c:invertIfNegative val="0"/>
          <c:cat>
            <c:strRef>
              <c:f>Forecast_Main!$T$77:$AY$77</c:f>
              <c:strCache>
                <c:ptCount val="32"/>
                <c:pt idx="0">
                  <c:v>2019 Q1</c:v>
                </c:pt>
                <c:pt idx="1">
                  <c:v>2019 Q2</c:v>
                </c:pt>
                <c:pt idx="2">
                  <c:v>2019 Q3</c:v>
                </c:pt>
                <c:pt idx="3">
                  <c:v>2019 Q4</c:v>
                </c:pt>
                <c:pt idx="4">
                  <c:v>2020 Q1</c:v>
                </c:pt>
                <c:pt idx="5">
                  <c:v>2020 Q2</c:v>
                </c:pt>
                <c:pt idx="6">
                  <c:v>2020 Q3</c:v>
                </c:pt>
                <c:pt idx="7">
                  <c:v>2020 Q4</c:v>
                </c:pt>
                <c:pt idx="8">
                  <c:v>2021 Q1</c:v>
                </c:pt>
                <c:pt idx="9">
                  <c:v>2021 Q2</c:v>
                </c:pt>
                <c:pt idx="10">
                  <c:v>2021 Q3</c:v>
                </c:pt>
                <c:pt idx="11">
                  <c:v>2021 Q4</c:v>
                </c:pt>
                <c:pt idx="12">
                  <c:v>2022 Q1</c:v>
                </c:pt>
                <c:pt idx="13">
                  <c:v>2022 Q2</c:v>
                </c:pt>
                <c:pt idx="14">
                  <c:v>2022 Q3</c:v>
                </c:pt>
                <c:pt idx="15">
                  <c:v>2022 Q4</c:v>
                </c:pt>
                <c:pt idx="16">
                  <c:v>2023 Q1</c:v>
                </c:pt>
                <c:pt idx="17">
                  <c:v>2023 Q2</c:v>
                </c:pt>
                <c:pt idx="18">
                  <c:v>2023 Q3</c:v>
                </c:pt>
                <c:pt idx="19">
                  <c:v>2023 Q4</c:v>
                </c:pt>
                <c:pt idx="20">
                  <c:v>2024 Q1</c:v>
                </c:pt>
                <c:pt idx="21">
                  <c:v>2024 Q2</c:v>
                </c:pt>
                <c:pt idx="22">
                  <c:v>2024 Q3</c:v>
                </c:pt>
                <c:pt idx="23">
                  <c:v>2024 Q4</c:v>
                </c:pt>
                <c:pt idx="24">
                  <c:v>2025 Q1</c:v>
                </c:pt>
                <c:pt idx="25">
                  <c:v>2025 Q2</c:v>
                </c:pt>
                <c:pt idx="26">
                  <c:v>2025 Q3</c:v>
                </c:pt>
                <c:pt idx="27">
                  <c:v>2025 Q4</c:v>
                </c:pt>
                <c:pt idx="28">
                  <c:v>2026 Q1</c:v>
                </c:pt>
                <c:pt idx="29">
                  <c:v>2026 Q2</c:v>
                </c:pt>
                <c:pt idx="30">
                  <c:v>2026 Q3</c:v>
                </c:pt>
                <c:pt idx="31">
                  <c:v>2026 Q4</c:v>
                </c:pt>
              </c:strCache>
            </c:strRef>
          </c:cat>
          <c:val>
            <c:numRef>
              <c:f>Forecast_Main!$T$113:$AY$113</c:f>
              <c:numCache>
                <c:formatCode>0.0%</c:formatCode>
                <c:ptCount val="32"/>
                <c:pt idx="0">
                  <c:v>0.31667508230494235</c:v>
                </c:pt>
                <c:pt idx="1">
                  <c:v>0.6434136549484194</c:v>
                </c:pt>
                <c:pt idx="2">
                  <c:v>0.47080953759777555</c:v>
                </c:pt>
                <c:pt idx="3">
                  <c:v>0.31510983930328523</c:v>
                </c:pt>
                <c:pt idx="4">
                  <c:v>0.32176775690974113</c:v>
                </c:pt>
                <c:pt idx="5">
                  <c:v>0.71132666123097332</c:v>
                </c:pt>
                <c:pt idx="6">
                  <c:v>0.64316798353478799</c:v>
                </c:pt>
                <c:pt idx="7">
                  <c:v>0.57430574917331467</c:v>
                </c:pt>
                <c:pt idx="8">
                  <c:v>0.48403633849161876</c:v>
                </c:pt>
                <c:pt idx="9">
                  <c:v>0.29654675822102311</c:v>
                </c:pt>
                <c:pt idx="10">
                  <c:v>0.22796692816403391</c:v>
                </c:pt>
                <c:pt idx="11">
                  <c:v>0.20980940756736458</c:v>
                </c:pt>
                <c:pt idx="12">
                  <c:v>0.18816153730528923</c:v>
                </c:pt>
                <c:pt idx="13">
                  <c:v>0.14455059924457281</c:v>
                </c:pt>
                <c:pt idx="14">
                  <c:v>0.33768802673425996</c:v>
                </c:pt>
                <c:pt idx="15">
                  <c:v>0.20053997577505941</c:v>
                </c:pt>
                <c:pt idx="16" formatCode="0.00%">
                  <c:v>0.23178367193734487</c:v>
                </c:pt>
                <c:pt idx="17" formatCode="0.00%">
                  <c:v>0.31801653181871886</c:v>
                </c:pt>
                <c:pt idx="18" formatCode="0.00%">
                  <c:v>0.13771461859210204</c:v>
                </c:pt>
                <c:pt idx="19" formatCode="0.00%">
                  <c:v>0.18486885461974431</c:v>
                </c:pt>
                <c:pt idx="20" formatCode="0.00%">
                  <c:v>0</c:v>
                </c:pt>
                <c:pt idx="21" formatCode="0.00%">
                  <c:v>0</c:v>
                </c:pt>
                <c:pt idx="22" formatCode="0.00%">
                  <c:v>0</c:v>
                </c:pt>
                <c:pt idx="23" formatCode="0.00%">
                  <c:v>0</c:v>
                </c:pt>
                <c:pt idx="24" formatCode="0.00%">
                  <c:v>0</c:v>
                </c:pt>
                <c:pt idx="25">
                  <c:v>0.2</c:v>
                </c:pt>
                <c:pt idx="26">
                  <c:v>0.2</c:v>
                </c:pt>
                <c:pt idx="27">
                  <c:v>0.2</c:v>
                </c:pt>
                <c:pt idx="28">
                  <c:v>0.25</c:v>
                </c:pt>
                <c:pt idx="29">
                  <c:v>0.25</c:v>
                </c:pt>
                <c:pt idx="30">
                  <c:v>0.25</c:v>
                </c:pt>
                <c:pt idx="31">
                  <c:v>0.25</c:v>
                </c:pt>
              </c:numCache>
            </c:numRef>
          </c:val>
          <c:extLst>
            <c:ext xmlns:c16="http://schemas.microsoft.com/office/drawing/2014/chart" uri="{C3380CC4-5D6E-409C-BE32-E72D297353CC}">
              <c16:uniqueId val="{00000000-22A5-4AED-BBA4-7293E06CCEEF}"/>
            </c:ext>
          </c:extLst>
        </c:ser>
        <c:dLbls>
          <c:showLegendKey val="0"/>
          <c:showVal val="0"/>
          <c:showCatName val="0"/>
          <c:showSerName val="0"/>
          <c:showPercent val="0"/>
          <c:showBubbleSize val="0"/>
        </c:dLbls>
        <c:gapWidth val="65"/>
        <c:overlap val="-27"/>
        <c:axId val="1862246543"/>
        <c:axId val="1862248207"/>
      </c:barChart>
      <c:catAx>
        <c:axId val="186224654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366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62248207"/>
        <c:crosses val="autoZero"/>
        <c:auto val="1"/>
        <c:lblAlgn val="ctr"/>
        <c:lblOffset val="100"/>
        <c:tickLblSkip val="4"/>
        <c:noMultiLvlLbl val="0"/>
      </c:catAx>
      <c:valAx>
        <c:axId val="1862248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w="19050">
            <a:solidFill>
              <a:schemeClr val="bg1">
                <a:lumMod val="65000"/>
              </a:schemeClr>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62246543"/>
        <c:crossesAt val="24"/>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Ethanol Blend Rate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2">
                <a:lumMod val="60000"/>
                <a:lumOff val="40000"/>
              </a:schemeClr>
            </a:solidFill>
            <a:ln>
              <a:noFill/>
            </a:ln>
            <a:effectLst/>
          </c:spPr>
          <c:invertIfNegative val="0"/>
          <c:cat>
            <c:strRef>
              <c:f>Forecast_Main!$H$77:$AY$77</c:f>
              <c:strCache>
                <c:ptCount val="44"/>
                <c:pt idx="0">
                  <c:v>2016 Q1</c:v>
                </c:pt>
                <c:pt idx="1">
                  <c:v>2016 Q2</c:v>
                </c:pt>
                <c:pt idx="2">
                  <c:v>2016 Q3</c:v>
                </c:pt>
                <c:pt idx="3">
                  <c:v>2016 Q4</c:v>
                </c:pt>
                <c:pt idx="4">
                  <c:v>2017 Q1</c:v>
                </c:pt>
                <c:pt idx="5">
                  <c:v>2017 Q2</c:v>
                </c:pt>
                <c:pt idx="6">
                  <c:v>2017 Q3</c:v>
                </c:pt>
                <c:pt idx="7">
                  <c:v>2017 Q4</c:v>
                </c:pt>
                <c:pt idx="8">
                  <c:v>2018 Q1</c:v>
                </c:pt>
                <c:pt idx="9">
                  <c:v>2018 Q2</c:v>
                </c:pt>
                <c:pt idx="10">
                  <c:v>2018 Q3</c:v>
                </c:pt>
                <c:pt idx="11">
                  <c:v>2018 Q4</c:v>
                </c:pt>
                <c:pt idx="12">
                  <c:v>2019 Q1</c:v>
                </c:pt>
                <c:pt idx="13">
                  <c:v>2019 Q2</c:v>
                </c:pt>
                <c:pt idx="14">
                  <c:v>2019 Q3</c:v>
                </c:pt>
                <c:pt idx="15">
                  <c:v>2019 Q4</c:v>
                </c:pt>
                <c:pt idx="16">
                  <c:v>2020 Q1</c:v>
                </c:pt>
                <c:pt idx="17">
                  <c:v>2020 Q2</c:v>
                </c:pt>
                <c:pt idx="18">
                  <c:v>2020 Q3</c:v>
                </c:pt>
                <c:pt idx="19">
                  <c:v>2020 Q4</c:v>
                </c:pt>
                <c:pt idx="20">
                  <c:v>2021 Q1</c:v>
                </c:pt>
                <c:pt idx="21">
                  <c:v>2021 Q2</c:v>
                </c:pt>
                <c:pt idx="22">
                  <c:v>2021 Q3</c:v>
                </c:pt>
                <c:pt idx="23">
                  <c:v>2021 Q4</c:v>
                </c:pt>
                <c:pt idx="24">
                  <c:v>2022 Q1</c:v>
                </c:pt>
                <c:pt idx="25">
                  <c:v>2022 Q2</c:v>
                </c:pt>
                <c:pt idx="26">
                  <c:v>2022 Q3</c:v>
                </c:pt>
                <c:pt idx="27">
                  <c:v>2022 Q4</c:v>
                </c:pt>
                <c:pt idx="28">
                  <c:v>2023 Q1</c:v>
                </c:pt>
                <c:pt idx="29">
                  <c:v>2023 Q2</c:v>
                </c:pt>
                <c:pt idx="30">
                  <c:v>2023 Q3</c:v>
                </c:pt>
                <c:pt idx="31">
                  <c:v>2023 Q4</c:v>
                </c:pt>
                <c:pt idx="32">
                  <c:v>2024 Q1</c:v>
                </c:pt>
                <c:pt idx="33">
                  <c:v>2024 Q2</c:v>
                </c:pt>
                <c:pt idx="34">
                  <c:v>2024 Q3</c:v>
                </c:pt>
                <c:pt idx="35">
                  <c:v>2024 Q4</c:v>
                </c:pt>
                <c:pt idx="36">
                  <c:v>2025 Q1</c:v>
                </c:pt>
                <c:pt idx="37">
                  <c:v>2025 Q2</c:v>
                </c:pt>
                <c:pt idx="38">
                  <c:v>2025 Q3</c:v>
                </c:pt>
                <c:pt idx="39">
                  <c:v>2025 Q4</c:v>
                </c:pt>
                <c:pt idx="40">
                  <c:v>2026 Q1</c:v>
                </c:pt>
                <c:pt idx="41">
                  <c:v>2026 Q2</c:v>
                </c:pt>
                <c:pt idx="42">
                  <c:v>2026 Q3</c:v>
                </c:pt>
                <c:pt idx="43">
                  <c:v>2026 Q4</c:v>
                </c:pt>
              </c:strCache>
            </c:strRef>
          </c:cat>
          <c:val>
            <c:numRef>
              <c:f>Forecast_Main!$H$81:$AY$81</c:f>
              <c:numCache>
                <c:formatCode>0.0%</c:formatCode>
                <c:ptCount val="44"/>
                <c:pt idx="0">
                  <c:v>0.11775692755767568</c:v>
                </c:pt>
                <c:pt idx="1">
                  <c:v>0.11149694823150767</c:v>
                </c:pt>
                <c:pt idx="2">
                  <c:v>0.10993553721249949</c:v>
                </c:pt>
                <c:pt idx="3">
                  <c:v>0.10318369732748199</c:v>
                </c:pt>
                <c:pt idx="4">
                  <c:v>0.12529520298502503</c:v>
                </c:pt>
                <c:pt idx="5">
                  <c:v>0.10426226684091097</c:v>
                </c:pt>
                <c:pt idx="6">
                  <c:v>0.10407437015044083</c:v>
                </c:pt>
                <c:pt idx="7">
                  <c:v>0.10168796970044768</c:v>
                </c:pt>
                <c:pt idx="8">
                  <c:v>0.11030157048222405</c:v>
                </c:pt>
                <c:pt idx="9">
                  <c:v>8.8495014039219763E-2</c:v>
                </c:pt>
                <c:pt idx="10">
                  <c:v>0.10326879137957272</c:v>
                </c:pt>
                <c:pt idx="11">
                  <c:v>0.1029931709601335</c:v>
                </c:pt>
                <c:pt idx="12">
                  <c:v>9.3921906997286045E-2</c:v>
                </c:pt>
                <c:pt idx="13">
                  <c:v>0.10147392517756693</c:v>
                </c:pt>
                <c:pt idx="14">
                  <c:v>0.10652853842096853</c:v>
                </c:pt>
                <c:pt idx="15">
                  <c:v>9.7851141302744665E-2</c:v>
                </c:pt>
                <c:pt idx="16">
                  <c:v>9.972249999560398E-2</c:v>
                </c:pt>
                <c:pt idx="17">
                  <c:v>0.11352022624513218</c:v>
                </c:pt>
                <c:pt idx="18">
                  <c:v>9.3369080227273499E-2</c:v>
                </c:pt>
                <c:pt idx="19">
                  <c:v>0.10017364263794323</c:v>
                </c:pt>
                <c:pt idx="20" formatCode="0.00%">
                  <c:v>8.7218733841288434E-2</c:v>
                </c:pt>
                <c:pt idx="21" formatCode="0.00%">
                  <c:v>0.11945564198988899</c:v>
                </c:pt>
                <c:pt idx="22" formatCode="0.00%">
                  <c:v>0.10384891839633946</c:v>
                </c:pt>
                <c:pt idx="23" formatCode="0.00%">
                  <c:v>0.10550983405769042</c:v>
                </c:pt>
                <c:pt idx="24" formatCode="0.00%">
                  <c:v>9.829123459412778E-2</c:v>
                </c:pt>
                <c:pt idx="25" formatCode="0.00%">
                  <c:v>0.11039415611920589</c:v>
                </c:pt>
                <c:pt idx="26" formatCode="0.00%">
                  <c:v>0.10255550573790115</c:v>
                </c:pt>
                <c:pt idx="27" formatCode="0.00%">
                  <c:v>8.5963787212187365E-2</c:v>
                </c:pt>
                <c:pt idx="28" formatCode="0.00%">
                  <c:v>0.10810088848897743</c:v>
                </c:pt>
                <c:pt idx="29" formatCode="0.00%">
                  <c:v>0.10873581623752582</c:v>
                </c:pt>
                <c:pt idx="30" formatCode="0.00%">
                  <c:v>9.7586105484592678E-2</c:v>
                </c:pt>
                <c:pt idx="31" formatCode="0.00%">
                  <c:v>0.10500401508540617</c:v>
                </c:pt>
                <c:pt idx="32" formatCode="0.00%">
                  <c:v>9.1358081471437286E-2</c:v>
                </c:pt>
                <c:pt idx="33" formatCode="0.00%">
                  <c:v>9.6079502637359634E-2</c:v>
                </c:pt>
                <c:pt idx="34" formatCode="0.00%">
                  <c:v>0.11509313088651911</c:v>
                </c:pt>
                <c:pt idx="35" formatCode="0.00%">
                  <c:v>9.6768818364212056E-2</c:v>
                </c:pt>
                <c:pt idx="36" formatCode="0.00%">
                  <c:v>9.602063061193955E-2</c:v>
                </c:pt>
                <c:pt idx="37" formatCode="0.00%">
                  <c:v>0.10199999999999999</c:v>
                </c:pt>
                <c:pt idx="38" formatCode="0.00%">
                  <c:v>0.10199999999999999</c:v>
                </c:pt>
                <c:pt idx="39" formatCode="0.00%">
                  <c:v>0.10199999999999999</c:v>
                </c:pt>
                <c:pt idx="40" formatCode="0.00%">
                  <c:v>0.10199999999999999</c:v>
                </c:pt>
                <c:pt idx="41" formatCode="0.00%">
                  <c:v>0.10199999999999999</c:v>
                </c:pt>
                <c:pt idx="42" formatCode="0.00%">
                  <c:v>0.10199999999999999</c:v>
                </c:pt>
                <c:pt idx="43" formatCode="0.00%">
                  <c:v>0.10199999999999999</c:v>
                </c:pt>
              </c:numCache>
            </c:numRef>
          </c:val>
          <c:extLst>
            <c:ext xmlns:c16="http://schemas.microsoft.com/office/drawing/2014/chart" uri="{C3380CC4-5D6E-409C-BE32-E72D297353CC}">
              <c16:uniqueId val="{00000000-B50C-4439-B2C5-C1A26D88D7E4}"/>
            </c:ext>
          </c:extLst>
        </c:ser>
        <c:dLbls>
          <c:showLegendKey val="0"/>
          <c:showVal val="0"/>
          <c:showCatName val="0"/>
          <c:showSerName val="0"/>
          <c:showPercent val="0"/>
          <c:showBubbleSize val="0"/>
        </c:dLbls>
        <c:gapWidth val="75"/>
        <c:overlap val="-27"/>
        <c:axId val="1862246543"/>
        <c:axId val="1862248207"/>
      </c:barChart>
      <c:catAx>
        <c:axId val="186224654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366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62248207"/>
        <c:crosses val="autoZero"/>
        <c:auto val="1"/>
        <c:lblAlgn val="ctr"/>
        <c:lblOffset val="100"/>
        <c:tickLblSkip val="4"/>
        <c:noMultiLvlLbl val="0"/>
      </c:catAx>
      <c:valAx>
        <c:axId val="18622482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w="19050">
            <a:solidFill>
              <a:schemeClr val="bg1">
                <a:lumMod val="65000"/>
              </a:schemeClr>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62246543"/>
        <c:crossesAt val="36"/>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Deficit and Credit Trends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303657340535882"/>
          <c:y val="0.14674584195762891"/>
          <c:w val="0.8361187051487502"/>
          <c:h val="0.73278526220558493"/>
        </c:manualLayout>
      </c:layout>
      <c:lineChart>
        <c:grouping val="standard"/>
        <c:varyColors val="0"/>
        <c:ser>
          <c:idx val="0"/>
          <c:order val="0"/>
          <c:tx>
            <c:strRef>
              <c:f>'Table 3+4 - Credit'!$I$6</c:f>
              <c:strCache>
                <c:ptCount val="1"/>
                <c:pt idx="0">
                  <c:v>Fossil Deficit Total</c:v>
                </c:pt>
              </c:strCache>
            </c:strRef>
          </c:tx>
          <c:spPr>
            <a:ln w="28575" cap="rnd">
              <a:solidFill>
                <a:schemeClr val="accent1"/>
              </a:solidFill>
              <a:round/>
            </a:ln>
            <a:effectLst/>
          </c:spPr>
          <c:marker>
            <c:symbol val="none"/>
          </c:marker>
          <c:cat>
            <c:numRef>
              <c:f>'Table 3+4 - Credit'!$J$22:$AC$22</c:f>
              <c:numCache>
                <c:formatCode>General</c:formatCode>
                <c:ptCount val="20"/>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numCache>
            </c:numRef>
          </c:cat>
          <c:val>
            <c:numRef>
              <c:f>'Table 3+4 - Credit'!$J$21:$AC$21</c:f>
              <c:numCache>
                <c:formatCode>#,##0</c:formatCode>
                <c:ptCount val="20"/>
                <c:pt idx="0">
                  <c:v>594831.5</c:v>
                </c:pt>
                <c:pt idx="1">
                  <c:v>644372.30000000005</c:v>
                </c:pt>
                <c:pt idx="2">
                  <c:v>864910.15</c:v>
                </c:pt>
                <c:pt idx="3">
                  <c:v>1002047.25</c:v>
                </c:pt>
                <c:pt idx="4">
                  <c:v>1154536.1499999999</c:v>
                </c:pt>
                <c:pt idx="5">
                  <c:v>1507381.05</c:v>
                </c:pt>
                <c:pt idx="6">
                  <c:v>1928809.35</c:v>
                </c:pt>
                <c:pt idx="7">
                  <c:v>2100439.5</c:v>
                </c:pt>
                <c:pt idx="8">
                  <c:v>2481761.2999999998</c:v>
                </c:pt>
                <c:pt idx="9">
                  <c:v>2907528.0701273941</c:v>
                </c:pt>
                <c:pt idx="10">
                  <c:v>3146590.121427495</c:v>
                </c:pt>
                <c:pt idx="11">
                  <c:v>3392314.9980106554</c:v>
                </c:pt>
                <c:pt idx="12">
                  <c:v>3643921.7863576356</c:v>
                </c:pt>
                <c:pt idx="13">
                  <c:v>3900611.6171048786</c:v>
                </c:pt>
                <c:pt idx="14">
                  <c:v>4161577.072200893</c:v>
                </c:pt>
                <c:pt idx="15">
                  <c:v>4426010.975329617</c:v>
                </c:pt>
                <c:pt idx="16">
                  <c:v>4693114.4604190942</c:v>
                </c:pt>
                <c:pt idx="17">
                  <c:v>4962104.2436022609</c:v>
                </c:pt>
                <c:pt idx="18">
                  <c:v>5232219.0521505009</c:v>
                </c:pt>
                <c:pt idx="19">
                  <c:v>5502725.1891145781</c:v>
                </c:pt>
              </c:numCache>
            </c:numRef>
          </c:val>
          <c:smooth val="0"/>
          <c:extLst>
            <c:ext xmlns:c16="http://schemas.microsoft.com/office/drawing/2014/chart" uri="{C3380CC4-5D6E-409C-BE32-E72D297353CC}">
              <c16:uniqueId val="{00000000-BEC5-4D3A-9422-47BDB6A80E89}"/>
            </c:ext>
          </c:extLst>
        </c:ser>
        <c:ser>
          <c:idx val="1"/>
          <c:order val="1"/>
          <c:tx>
            <c:strRef>
              <c:f>'Table 3+4 - Credit'!$I$15</c:f>
              <c:strCache>
                <c:ptCount val="1"/>
                <c:pt idx="0">
                  <c:v>Alternative Credit Total</c:v>
                </c:pt>
              </c:strCache>
            </c:strRef>
          </c:tx>
          <c:spPr>
            <a:ln w="28575" cap="rnd">
              <a:solidFill>
                <a:schemeClr val="accent2"/>
              </a:solidFill>
              <a:round/>
            </a:ln>
            <a:effectLst/>
          </c:spPr>
          <c:marker>
            <c:symbol val="none"/>
          </c:marker>
          <c:cat>
            <c:numRef>
              <c:f>'Table 3+4 - Credit'!$J$22:$AC$22</c:f>
              <c:numCache>
                <c:formatCode>General</c:formatCode>
                <c:ptCount val="20"/>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numCache>
            </c:numRef>
          </c:cat>
          <c:val>
            <c:numRef>
              <c:f>'Table 3+4 - Credit'!$J$15:$AC$15</c:f>
              <c:numCache>
                <c:formatCode>#,##0</c:formatCode>
                <c:ptCount val="20"/>
                <c:pt idx="0">
                  <c:v>809410.5</c:v>
                </c:pt>
                <c:pt idx="1">
                  <c:v>855272.3</c:v>
                </c:pt>
                <c:pt idx="2">
                  <c:v>943646.15</c:v>
                </c:pt>
                <c:pt idx="3">
                  <c:v>1220755.25</c:v>
                </c:pt>
                <c:pt idx="4">
                  <c:v>1260547.1499999999</c:v>
                </c:pt>
                <c:pt idx="5">
                  <c:v>1443566.05</c:v>
                </c:pt>
                <c:pt idx="6">
                  <c:v>1812431.35</c:v>
                </c:pt>
                <c:pt idx="7">
                  <c:v>2572009.5</c:v>
                </c:pt>
                <c:pt idx="8">
                  <c:v>2724014.3</c:v>
                </c:pt>
                <c:pt idx="9">
                  <c:v>2562291.4509205115</c:v>
                </c:pt>
                <c:pt idx="10">
                  <c:v>3124280.1148508438</c:v>
                </c:pt>
                <c:pt idx="11">
                  <c:v>3175220.9279557075</c:v>
                </c:pt>
                <c:pt idx="12">
                  <c:v>3312015.3735549003</c:v>
                </c:pt>
                <c:pt idx="13">
                  <c:v>3655114.2316454258</c:v>
                </c:pt>
                <c:pt idx="14">
                  <c:v>3808109.6649552817</c:v>
                </c:pt>
                <c:pt idx="15">
                  <c:v>4101371.0359707563</c:v>
                </c:pt>
                <c:pt idx="16">
                  <c:v>4430312.0143136755</c:v>
                </c:pt>
                <c:pt idx="17">
                  <c:v>4734844.2170677176</c:v>
                </c:pt>
                <c:pt idx="18">
                  <c:v>5077574.1306515438</c:v>
                </c:pt>
                <c:pt idx="19">
                  <c:v>5456997.124155147</c:v>
                </c:pt>
              </c:numCache>
            </c:numRef>
          </c:val>
          <c:smooth val="0"/>
          <c:extLst>
            <c:ext xmlns:c16="http://schemas.microsoft.com/office/drawing/2014/chart" uri="{C3380CC4-5D6E-409C-BE32-E72D297353CC}">
              <c16:uniqueId val="{00000002-BEC5-4D3A-9422-47BDB6A80E89}"/>
            </c:ext>
          </c:extLst>
        </c:ser>
        <c:dLbls>
          <c:showLegendKey val="0"/>
          <c:showVal val="0"/>
          <c:showCatName val="0"/>
          <c:showSerName val="0"/>
          <c:showPercent val="0"/>
          <c:showBubbleSize val="0"/>
        </c:dLbls>
        <c:smooth val="0"/>
        <c:axId val="1057025695"/>
        <c:axId val="1057024447"/>
      </c:lineChart>
      <c:catAx>
        <c:axId val="1057025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34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7024447"/>
        <c:crosses val="autoZero"/>
        <c:auto val="1"/>
        <c:lblAlgn val="ctr"/>
        <c:lblOffset val="100"/>
        <c:noMultiLvlLbl val="0"/>
      </c:catAx>
      <c:valAx>
        <c:axId val="105702444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7025695"/>
        <c:crosses val="autoZero"/>
        <c:crossBetween val="between"/>
        <c:dispUnits>
          <c:builtInUnit val="millions"/>
          <c:dispUnitsLbl>
            <c:layout>
              <c:manualLayout>
                <c:xMode val="edge"/>
                <c:yMode val="edge"/>
                <c:x val="2.2222222222222223E-2"/>
                <c:y val="0.35185185185185186"/>
              </c:manualLayout>
            </c:layout>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layout>
        <c:manualLayout>
          <c:xMode val="edge"/>
          <c:yMode val="edge"/>
          <c:x val="0.12651060753723997"/>
          <c:y val="0.17606211237400016"/>
          <c:w val="0.52265353804631265"/>
          <c:h val="0.2819001322149682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Net Credit Bank</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numRef>
              <c:f>'Table 3+4 - Credit'!$J$22:$AC$22</c:f>
              <c:numCache>
                <c:formatCode>General</c:formatCode>
                <c:ptCount val="20"/>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pt idx="15">
                  <c:v>2031</c:v>
                </c:pt>
                <c:pt idx="16">
                  <c:v>2032</c:v>
                </c:pt>
                <c:pt idx="17">
                  <c:v>2033</c:v>
                </c:pt>
                <c:pt idx="18">
                  <c:v>2034</c:v>
                </c:pt>
                <c:pt idx="19">
                  <c:v>2035</c:v>
                </c:pt>
              </c:numCache>
            </c:numRef>
          </c:cat>
          <c:val>
            <c:numRef>
              <c:f>'Table 3+4 - Credit'!$J$17:$AC$17</c:f>
              <c:numCache>
                <c:formatCode>#,##0</c:formatCode>
                <c:ptCount val="20"/>
                <c:pt idx="0">
                  <c:v>214579</c:v>
                </c:pt>
                <c:pt idx="1">
                  <c:v>210900.00000000003</c:v>
                </c:pt>
                <c:pt idx="2">
                  <c:v>78736</c:v>
                </c:pt>
                <c:pt idx="3">
                  <c:v>218708</c:v>
                </c:pt>
                <c:pt idx="4">
                  <c:v>106010.99999999988</c:v>
                </c:pt>
                <c:pt idx="5">
                  <c:v>-63815</c:v>
                </c:pt>
                <c:pt idx="6">
                  <c:v>-116377.99999999988</c:v>
                </c:pt>
                <c:pt idx="7">
                  <c:v>471569.99999999988</c:v>
                </c:pt>
                <c:pt idx="8">
                  <c:v>242253</c:v>
                </c:pt>
                <c:pt idx="9">
                  <c:v>-345236.61920688231</c:v>
                </c:pt>
                <c:pt idx="10">
                  <c:v>-22310.006576651125</c:v>
                </c:pt>
                <c:pt idx="11">
                  <c:v>-217094.07005494786</c:v>
                </c:pt>
                <c:pt idx="12">
                  <c:v>-331906.41280273558</c:v>
                </c:pt>
                <c:pt idx="13">
                  <c:v>-245497.3854594531</c:v>
                </c:pt>
                <c:pt idx="14">
                  <c:v>-353467.40724561131</c:v>
                </c:pt>
                <c:pt idx="15">
                  <c:v>-324639.93935886025</c:v>
                </c:pt>
                <c:pt idx="16">
                  <c:v>-262802.44610541896</c:v>
                </c:pt>
                <c:pt idx="17">
                  <c:v>-227260.02653454291</c:v>
                </c:pt>
                <c:pt idx="18">
                  <c:v>-154644.92149895662</c:v>
                </c:pt>
                <c:pt idx="19">
                  <c:v>-45728.064959431067</c:v>
                </c:pt>
              </c:numCache>
            </c:numRef>
          </c:val>
          <c:extLst>
            <c:ext xmlns:c16="http://schemas.microsoft.com/office/drawing/2014/chart" uri="{C3380CC4-5D6E-409C-BE32-E72D297353CC}">
              <c16:uniqueId val="{00000000-E6BD-4019-802B-C4416FFAC5D2}"/>
            </c:ext>
          </c:extLst>
        </c:ser>
        <c:dLbls>
          <c:showLegendKey val="0"/>
          <c:showVal val="0"/>
          <c:showCatName val="0"/>
          <c:showSerName val="0"/>
          <c:showPercent val="0"/>
          <c:showBubbleSize val="0"/>
        </c:dLbls>
        <c:gapWidth val="219"/>
        <c:overlap val="-27"/>
        <c:axId val="538795599"/>
        <c:axId val="538796431"/>
      </c:barChart>
      <c:catAx>
        <c:axId val="538795599"/>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33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8796431"/>
        <c:crosses val="autoZero"/>
        <c:auto val="1"/>
        <c:lblAlgn val="ctr"/>
        <c:lblOffset val="100"/>
        <c:noMultiLvlLbl val="0"/>
      </c:catAx>
      <c:valAx>
        <c:axId val="5387964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87955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Ethanol Carbon</a:t>
            </a:r>
            <a:r>
              <a:rPr lang="en-US" sz="1600" b="1" baseline="0"/>
              <a:t> Intensity</a:t>
            </a:r>
            <a:endParaRPr lang="en-US" sz="1600" b="1"/>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lumMod val="75000"/>
              </a:schemeClr>
            </a:solidFill>
            <a:ln>
              <a:noFill/>
            </a:ln>
            <a:effectLst/>
          </c:spPr>
          <c:invertIfNegative val="0"/>
          <c:dPt>
            <c:idx val="7"/>
            <c:invertIfNegative val="0"/>
            <c:bubble3D val="0"/>
            <c:spPr>
              <a:solidFill>
                <a:schemeClr val="accent1">
                  <a:lumMod val="75000"/>
                </a:schemeClr>
              </a:solidFill>
              <a:ln>
                <a:noFill/>
              </a:ln>
              <a:effectLst/>
            </c:spPr>
            <c:extLst>
              <c:ext xmlns:c16="http://schemas.microsoft.com/office/drawing/2014/chart" uri="{C3380CC4-5D6E-409C-BE32-E72D297353CC}">
                <c16:uniqueId val="{00000001-A9A0-4D87-B150-4D91BBEC3729}"/>
              </c:ext>
            </c:extLst>
          </c:dPt>
          <c:dPt>
            <c:idx val="8"/>
            <c:invertIfNegative val="0"/>
            <c:bubble3D val="0"/>
            <c:spPr>
              <a:solidFill>
                <a:schemeClr val="accent1">
                  <a:lumMod val="75000"/>
                </a:schemeClr>
              </a:solidFill>
              <a:ln>
                <a:noFill/>
              </a:ln>
              <a:effectLst/>
            </c:spPr>
            <c:extLst>
              <c:ext xmlns:c16="http://schemas.microsoft.com/office/drawing/2014/chart" uri="{C3380CC4-5D6E-409C-BE32-E72D297353CC}">
                <c16:uniqueId val="{00000002-A9A0-4D87-B150-4D91BBEC3729}"/>
              </c:ext>
            </c:extLst>
          </c:dPt>
          <c:dPt>
            <c:idx val="9"/>
            <c:invertIfNegative val="0"/>
            <c:bubble3D val="0"/>
            <c:spPr>
              <a:solidFill>
                <a:schemeClr val="accent6">
                  <a:lumMod val="75000"/>
                </a:schemeClr>
              </a:solidFill>
              <a:ln>
                <a:noFill/>
              </a:ln>
              <a:effectLst/>
            </c:spPr>
            <c:extLst>
              <c:ext xmlns:c16="http://schemas.microsoft.com/office/drawing/2014/chart" uri="{C3380CC4-5D6E-409C-BE32-E72D297353CC}">
                <c16:uniqueId val="{00000004-B55D-4CF9-8BF7-CAF79D6E0AEA}"/>
              </c:ext>
            </c:extLst>
          </c:dPt>
          <c:dPt>
            <c:idx val="10"/>
            <c:invertIfNegative val="0"/>
            <c:bubble3D val="0"/>
            <c:spPr>
              <a:solidFill>
                <a:schemeClr val="accent6">
                  <a:lumMod val="75000"/>
                </a:schemeClr>
              </a:solidFill>
              <a:ln>
                <a:noFill/>
              </a:ln>
              <a:effectLst/>
            </c:spPr>
            <c:extLst>
              <c:ext xmlns:c16="http://schemas.microsoft.com/office/drawing/2014/chart" uri="{C3380CC4-5D6E-409C-BE32-E72D297353CC}">
                <c16:uniqueId val="{00000006-FAD6-441C-8FB8-F0359E8201DD}"/>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'CI Trend'!$D$17:$N$17</c:f>
              <c:strCache>
                <c:ptCount val="11"/>
                <c:pt idx="0">
                  <c:v>2016</c:v>
                </c:pt>
                <c:pt idx="1">
                  <c:v>2017</c:v>
                </c:pt>
                <c:pt idx="2">
                  <c:v>2018</c:v>
                </c:pt>
                <c:pt idx="3">
                  <c:v>2019</c:v>
                </c:pt>
                <c:pt idx="4">
                  <c:v>2020</c:v>
                </c:pt>
                <c:pt idx="5">
                  <c:v>2021</c:v>
                </c:pt>
                <c:pt idx="6">
                  <c:v>2022</c:v>
                </c:pt>
                <c:pt idx="7">
                  <c:v>2023</c:v>
                </c:pt>
                <c:pt idx="8">
                  <c:v>2024</c:v>
                </c:pt>
                <c:pt idx="9">
                  <c:v>2025F</c:v>
                </c:pt>
                <c:pt idx="10">
                  <c:v>2026F</c:v>
                </c:pt>
              </c:strCache>
            </c:strRef>
          </c:cat>
          <c:val>
            <c:numRef>
              <c:f>'CI Trend'!$D$18:$N$18</c:f>
              <c:numCache>
                <c:formatCode>0.00</c:formatCode>
                <c:ptCount val="11"/>
                <c:pt idx="0">
                  <c:v>63.279508183586699</c:v>
                </c:pt>
                <c:pt idx="1">
                  <c:v>62.668089273542883</c:v>
                </c:pt>
                <c:pt idx="2">
                  <c:v>60.861324184509172</c:v>
                </c:pt>
                <c:pt idx="3">
                  <c:v>58.088168657160466</c:v>
                </c:pt>
                <c:pt idx="4">
                  <c:v>54.762173286391274</c:v>
                </c:pt>
                <c:pt idx="5">
                  <c:v>53.719608653544384</c:v>
                </c:pt>
                <c:pt idx="6">
                  <c:v>53.405939492858124</c:v>
                </c:pt>
                <c:pt idx="7">
                  <c:v>50.862559158228585</c:v>
                </c:pt>
                <c:pt idx="8">
                  <c:v>48.767268160834035</c:v>
                </c:pt>
                <c:pt idx="9">
                  <c:v>48</c:v>
                </c:pt>
                <c:pt idx="10">
                  <c:v>47.5</c:v>
                </c:pt>
              </c:numCache>
            </c:numRef>
          </c:val>
          <c:extLst>
            <c:ext xmlns:c16="http://schemas.microsoft.com/office/drawing/2014/chart" uri="{C3380CC4-5D6E-409C-BE32-E72D297353CC}">
              <c16:uniqueId val="{00000000-A9A0-4D87-B150-4D91BBEC3729}"/>
            </c:ext>
          </c:extLst>
        </c:ser>
        <c:dLbls>
          <c:showLegendKey val="0"/>
          <c:showVal val="0"/>
          <c:showCatName val="0"/>
          <c:showSerName val="0"/>
          <c:showPercent val="0"/>
          <c:showBubbleSize val="0"/>
        </c:dLbls>
        <c:gapWidth val="51"/>
        <c:overlap val="-27"/>
        <c:axId val="111880976"/>
        <c:axId val="111878576"/>
      </c:barChart>
      <c:catAx>
        <c:axId val="11188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1878576"/>
        <c:crosses val="autoZero"/>
        <c:auto val="1"/>
        <c:lblAlgn val="ctr"/>
        <c:lblOffset val="100"/>
        <c:noMultiLvlLbl val="0"/>
      </c:catAx>
      <c:valAx>
        <c:axId val="111878576"/>
        <c:scaling>
          <c:orientation val="minMax"/>
          <c:min val="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Weighted Average</a:t>
                </a:r>
              </a:p>
            </c:rich>
          </c:tx>
          <c:layout>
            <c:manualLayout>
              <c:xMode val="edge"/>
              <c:yMode val="edge"/>
              <c:x val="1.6666666666666666E-2"/>
              <c:y val="0.345086935561626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18809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24.xml"/><Relationship Id="rId13" Type="http://schemas.openxmlformats.org/officeDocument/2006/relationships/chart" Target="../charts/chart29.xml"/><Relationship Id="rId3" Type="http://schemas.openxmlformats.org/officeDocument/2006/relationships/chart" Target="../charts/chart19.xml"/><Relationship Id="rId7" Type="http://schemas.openxmlformats.org/officeDocument/2006/relationships/chart" Target="../charts/chart23.xml"/><Relationship Id="rId12" Type="http://schemas.openxmlformats.org/officeDocument/2006/relationships/chart" Target="../charts/chart28.xml"/><Relationship Id="rId2" Type="http://schemas.openxmlformats.org/officeDocument/2006/relationships/chart" Target="../charts/chart18.xml"/><Relationship Id="rId16" Type="http://schemas.openxmlformats.org/officeDocument/2006/relationships/chart" Target="../charts/chart32.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7.xml"/><Relationship Id="rId5" Type="http://schemas.openxmlformats.org/officeDocument/2006/relationships/chart" Target="../charts/chart21.xml"/><Relationship Id="rId15" Type="http://schemas.openxmlformats.org/officeDocument/2006/relationships/chart" Target="../charts/chart31.xml"/><Relationship Id="rId10" Type="http://schemas.openxmlformats.org/officeDocument/2006/relationships/chart" Target="../charts/chart26.xml"/><Relationship Id="rId4" Type="http://schemas.openxmlformats.org/officeDocument/2006/relationships/chart" Target="../charts/chart20.xml"/><Relationship Id="rId9" Type="http://schemas.openxmlformats.org/officeDocument/2006/relationships/chart" Target="../charts/chart25.xml"/><Relationship Id="rId14" Type="http://schemas.openxmlformats.org/officeDocument/2006/relationships/chart" Target="../charts/chart3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3.xml"/><Relationship Id="rId4"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34</xdr:col>
      <xdr:colOff>424226</xdr:colOff>
      <xdr:row>175</xdr:row>
      <xdr:rowOff>13291</xdr:rowOff>
    </xdr:from>
    <xdr:to>
      <xdr:col>38</xdr:col>
      <xdr:colOff>436872</xdr:colOff>
      <xdr:row>192</xdr:row>
      <xdr:rowOff>133674</xdr:rowOff>
    </xdr:to>
    <xdr:graphicFrame macro="">
      <xdr:nvGraphicFramePr>
        <xdr:cNvPr id="2" name="Chart 1">
          <a:extLst>
            <a:ext uri="{FF2B5EF4-FFF2-40B4-BE49-F238E27FC236}">
              <a16:creationId xmlns:a16="http://schemas.microsoft.com/office/drawing/2014/main" id="{BCDF0DFF-068B-49B0-880B-509DC9FD1D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50</xdr:col>
      <xdr:colOff>748391</xdr:colOff>
      <xdr:row>29</xdr:row>
      <xdr:rowOff>99252</xdr:rowOff>
    </xdr:from>
    <xdr:to>
      <xdr:col>58</xdr:col>
      <xdr:colOff>54427</xdr:colOff>
      <xdr:row>47</xdr:row>
      <xdr:rowOff>68036</xdr:rowOff>
    </xdr:to>
    <xdr:graphicFrame macro="">
      <xdr:nvGraphicFramePr>
        <xdr:cNvPr id="3" name="Chart 2">
          <a:extLst>
            <a:ext uri="{FF2B5EF4-FFF2-40B4-BE49-F238E27FC236}">
              <a16:creationId xmlns:a16="http://schemas.microsoft.com/office/drawing/2014/main" id="{187AB85F-308C-4D4D-BF7B-3513FDB86B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46</xdr:col>
      <xdr:colOff>830036</xdr:colOff>
      <xdr:row>48</xdr:row>
      <xdr:rowOff>36020</xdr:rowOff>
    </xdr:from>
    <xdr:to>
      <xdr:col>50</xdr:col>
      <xdr:colOff>632333</xdr:colOff>
      <xdr:row>66</xdr:row>
      <xdr:rowOff>40821</xdr:rowOff>
    </xdr:to>
    <xdr:graphicFrame macro="">
      <xdr:nvGraphicFramePr>
        <xdr:cNvPr id="4" name="Chart 3">
          <a:extLst>
            <a:ext uri="{FF2B5EF4-FFF2-40B4-BE49-F238E27FC236}">
              <a16:creationId xmlns:a16="http://schemas.microsoft.com/office/drawing/2014/main" id="{8CA788E8-51CF-48BA-96C7-8F7EB9BAA0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54</xdr:col>
      <xdr:colOff>148715</xdr:colOff>
      <xdr:row>81</xdr:row>
      <xdr:rowOff>96532</xdr:rowOff>
    </xdr:from>
    <xdr:to>
      <xdr:col>61</xdr:col>
      <xdr:colOff>353786</xdr:colOff>
      <xdr:row>99</xdr:row>
      <xdr:rowOff>133671</xdr:rowOff>
    </xdr:to>
    <xdr:graphicFrame macro="">
      <xdr:nvGraphicFramePr>
        <xdr:cNvPr id="6" name="Chart 5">
          <a:extLst>
            <a:ext uri="{FF2B5EF4-FFF2-40B4-BE49-F238E27FC236}">
              <a16:creationId xmlns:a16="http://schemas.microsoft.com/office/drawing/2014/main" id="{CF7FADCD-F5F6-46BB-BC84-722F7AA99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50</xdr:col>
      <xdr:colOff>734785</xdr:colOff>
      <xdr:row>48</xdr:row>
      <xdr:rowOff>56030</xdr:rowOff>
    </xdr:from>
    <xdr:to>
      <xdr:col>58</xdr:col>
      <xdr:colOff>54428</xdr:colOff>
      <xdr:row>65</xdr:row>
      <xdr:rowOff>136072</xdr:rowOff>
    </xdr:to>
    <xdr:graphicFrame macro="">
      <xdr:nvGraphicFramePr>
        <xdr:cNvPr id="8" name="Chart 7">
          <a:extLst>
            <a:ext uri="{FF2B5EF4-FFF2-40B4-BE49-F238E27FC236}">
              <a16:creationId xmlns:a16="http://schemas.microsoft.com/office/drawing/2014/main" id="{B14A61A4-2526-413C-A6A5-3DBC90CF7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46</xdr:col>
      <xdr:colOff>843643</xdr:colOff>
      <xdr:row>29</xdr:row>
      <xdr:rowOff>87085</xdr:rowOff>
    </xdr:from>
    <xdr:to>
      <xdr:col>50</xdr:col>
      <xdr:colOff>608160</xdr:colOff>
      <xdr:row>47</xdr:row>
      <xdr:rowOff>68036</xdr:rowOff>
    </xdr:to>
    <xdr:graphicFrame macro="">
      <xdr:nvGraphicFramePr>
        <xdr:cNvPr id="5" name="Chart 4">
          <a:extLst>
            <a:ext uri="{FF2B5EF4-FFF2-40B4-BE49-F238E27FC236}">
              <a16:creationId xmlns:a16="http://schemas.microsoft.com/office/drawing/2014/main" id="{C3B5096A-1E22-41C4-999A-864DB4D1F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0.02053</cdr:x>
      <cdr:y>0.01581</cdr:y>
    </cdr:from>
    <cdr:to>
      <cdr:x>0.23867</cdr:x>
      <cdr:y>0.20685</cdr:y>
    </cdr:to>
    <cdr:sp macro="" textlink="">
      <cdr:nvSpPr>
        <cdr:cNvPr id="2" name="TextBox 1">
          <a:extLst xmlns:a="http://schemas.openxmlformats.org/drawingml/2006/main">
            <a:ext uri="{FF2B5EF4-FFF2-40B4-BE49-F238E27FC236}">
              <a16:creationId xmlns:a16="http://schemas.microsoft.com/office/drawing/2014/main" id="{9FF617B9-42B3-037E-A5F2-1779847E0B71}"/>
            </a:ext>
          </a:extLst>
        </cdr:cNvPr>
        <cdr:cNvSpPr txBox="1"/>
      </cdr:nvSpPr>
      <cdr:spPr>
        <a:xfrm xmlns:a="http://schemas.openxmlformats.org/drawingml/2006/main">
          <a:off x="121920" y="60960"/>
          <a:ext cx="1295398" cy="7366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2400" b="1">
              <a:solidFill>
                <a:schemeClr val="tx1">
                  <a:lumMod val="75000"/>
                  <a:lumOff val="25000"/>
                </a:schemeClr>
              </a:solidFill>
            </a:rPr>
            <a:t>Total Oregon Electric Vehicles</a:t>
          </a:r>
        </a:p>
        <a:p xmlns:a="http://schemas.openxmlformats.org/drawingml/2006/main">
          <a:r>
            <a:rPr lang="en-US" sz="1400" b="1">
              <a:solidFill>
                <a:schemeClr val="accent1"/>
              </a:solidFill>
            </a:rPr>
            <a:t>Current Forecast</a:t>
          </a:r>
          <a:r>
            <a:rPr lang="en-US" sz="1400" b="1" baseline="0">
              <a:solidFill>
                <a:schemeClr val="accent1"/>
              </a:solidFill>
            </a:rPr>
            <a:t> </a:t>
          </a:r>
          <a:r>
            <a:rPr lang="en-US" sz="1400" b="1" baseline="0">
              <a:solidFill>
                <a:schemeClr val="tx1">
                  <a:lumMod val="75000"/>
                  <a:lumOff val="25000"/>
                </a:schemeClr>
              </a:solidFill>
            </a:rPr>
            <a:t>| </a:t>
          </a:r>
          <a:r>
            <a:rPr lang="en-US" sz="1400" b="1" baseline="0">
              <a:solidFill>
                <a:schemeClr val="accent6">
                  <a:lumMod val="75000"/>
                </a:schemeClr>
              </a:solidFill>
            </a:rPr>
            <a:t>Prior Forecast</a:t>
          </a:r>
          <a:endParaRPr lang="en-US" sz="1400" b="1">
            <a:solidFill>
              <a:schemeClr val="accent6">
                <a:lumMod val="75000"/>
              </a:schemeClr>
            </a:solidFill>
          </a:endParaRPr>
        </a:p>
      </cdr:txBody>
    </cdr:sp>
  </cdr:relSizeAnchor>
  <cdr:relSizeAnchor xmlns:cdr="http://schemas.openxmlformats.org/drawingml/2006/chartDrawing">
    <cdr:from>
      <cdr:x>0.00941</cdr:x>
      <cdr:y>0.94598</cdr:y>
    </cdr:from>
    <cdr:to>
      <cdr:x>0.35843</cdr:x>
      <cdr:y>0.99736</cdr:y>
    </cdr:to>
    <cdr:sp macro="" textlink="">
      <cdr:nvSpPr>
        <cdr:cNvPr id="3" name="TextBox 2">
          <a:extLst xmlns:a="http://schemas.openxmlformats.org/drawingml/2006/main">
            <a:ext uri="{FF2B5EF4-FFF2-40B4-BE49-F238E27FC236}">
              <a16:creationId xmlns:a16="http://schemas.microsoft.com/office/drawing/2014/main" id="{02C48529-096C-7DC1-C033-6C3FA1FA0869}"/>
            </a:ext>
          </a:extLst>
        </cdr:cNvPr>
        <cdr:cNvSpPr txBox="1"/>
      </cdr:nvSpPr>
      <cdr:spPr>
        <a:xfrm xmlns:a="http://schemas.openxmlformats.org/drawingml/2006/main">
          <a:off x="55879" y="3647441"/>
          <a:ext cx="2072640" cy="1981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700">
              <a:solidFill>
                <a:schemeClr val="tx1">
                  <a:lumMod val="65000"/>
                  <a:lumOff val="35000"/>
                </a:schemeClr>
              </a:solidFill>
            </a:rPr>
            <a:t>Source: Oregon Dept of Transportation</a:t>
          </a:r>
        </a:p>
      </cdr:txBody>
    </cdr:sp>
  </cdr:relSizeAnchor>
  <cdr:relSizeAnchor xmlns:cdr="http://schemas.openxmlformats.org/drawingml/2006/chartDrawing">
    <cdr:from>
      <cdr:x>0.76476</cdr:x>
      <cdr:y>0.24374</cdr:y>
    </cdr:from>
    <cdr:to>
      <cdr:x>0.92301</cdr:x>
      <cdr:y>0.30435</cdr:y>
    </cdr:to>
    <cdr:sp macro="" textlink="">
      <cdr:nvSpPr>
        <cdr:cNvPr id="4" name="TextBox 3">
          <a:extLst xmlns:a="http://schemas.openxmlformats.org/drawingml/2006/main">
            <a:ext uri="{FF2B5EF4-FFF2-40B4-BE49-F238E27FC236}">
              <a16:creationId xmlns:a16="http://schemas.microsoft.com/office/drawing/2014/main" id="{72771E3D-157C-38B5-8BD2-AD08FC4D357B}"/>
            </a:ext>
          </a:extLst>
        </cdr:cNvPr>
        <cdr:cNvSpPr txBox="1"/>
      </cdr:nvSpPr>
      <cdr:spPr>
        <a:xfrm xmlns:a="http://schemas.openxmlformats.org/drawingml/2006/main">
          <a:off x="4541547" y="939793"/>
          <a:ext cx="939771" cy="23369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i="1">
              <a:solidFill>
                <a:schemeClr val="tx1">
                  <a:lumMod val="75000"/>
                  <a:lumOff val="25000"/>
                </a:schemeClr>
              </a:solidFill>
            </a:rPr>
            <a:t>Forecast --&gt;</a:t>
          </a:r>
        </a:p>
      </cdr:txBody>
    </cdr:sp>
  </cdr:relSizeAnchor>
</c:userShapes>
</file>

<file path=xl/drawings/drawing11.xml><?xml version="1.0" encoding="utf-8"?>
<c:userShapes xmlns:c="http://schemas.openxmlformats.org/drawingml/2006/chart">
  <cdr:relSizeAnchor xmlns:cdr="http://schemas.openxmlformats.org/drawingml/2006/chartDrawing">
    <cdr:from>
      <cdr:x>0.59255</cdr:x>
      <cdr:y>0.12989</cdr:y>
    </cdr:from>
    <cdr:to>
      <cdr:x>0.59255</cdr:x>
      <cdr:y>0.84615</cdr:y>
    </cdr:to>
    <cdr:cxnSp macro="">
      <cdr:nvCxnSpPr>
        <cdr:cNvPr id="3" name="Straight Connector 2">
          <a:extLst xmlns:a="http://schemas.openxmlformats.org/drawingml/2006/main">
            <a:ext uri="{FF2B5EF4-FFF2-40B4-BE49-F238E27FC236}">
              <a16:creationId xmlns:a16="http://schemas.microsoft.com/office/drawing/2014/main" id="{6A33A741-4EF2-4153-8A5D-FC97647AA38A}"/>
            </a:ext>
          </a:extLst>
        </cdr:cNvPr>
        <cdr:cNvCxnSpPr/>
      </cdr:nvCxnSpPr>
      <cdr:spPr>
        <a:xfrm xmlns:a="http://schemas.openxmlformats.org/drawingml/2006/main">
          <a:off x="3435352" y="654052"/>
          <a:ext cx="0" cy="3606800"/>
        </a:xfrm>
        <a:prstGeom xmlns:a="http://schemas.openxmlformats.org/drawingml/2006/main" prst="line">
          <a:avLst/>
        </a:prstGeom>
        <a:ln xmlns:a="http://schemas.openxmlformats.org/drawingml/2006/main" w="19050">
          <a:solidFill>
            <a:srgbClr val="FF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2.xml><?xml version="1.0" encoding="utf-8"?>
<xdr:wsDr xmlns:xdr="http://schemas.openxmlformats.org/drawingml/2006/spreadsheetDrawing" xmlns:a="http://schemas.openxmlformats.org/drawingml/2006/main">
  <xdr:twoCellAnchor>
    <xdr:from>
      <xdr:col>15</xdr:col>
      <xdr:colOff>467845</xdr:colOff>
      <xdr:row>39</xdr:row>
      <xdr:rowOff>114859</xdr:rowOff>
    </xdr:from>
    <xdr:to>
      <xdr:col>23</xdr:col>
      <xdr:colOff>181815</xdr:colOff>
      <xdr:row>56</xdr:row>
      <xdr:rowOff>67234</xdr:rowOff>
    </xdr:to>
    <xdr:graphicFrame macro="">
      <xdr:nvGraphicFramePr>
        <xdr:cNvPr id="2" name="Chart 1">
          <a:extLst>
            <a:ext uri="{FF2B5EF4-FFF2-40B4-BE49-F238E27FC236}">
              <a16:creationId xmlns:a16="http://schemas.microsoft.com/office/drawing/2014/main" id="{8F2FADC9-83C1-479A-A643-E46331D055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29</xdr:col>
      <xdr:colOff>571500</xdr:colOff>
      <xdr:row>2</xdr:row>
      <xdr:rowOff>33619</xdr:rowOff>
    </xdr:from>
    <xdr:to>
      <xdr:col>38</xdr:col>
      <xdr:colOff>12448</xdr:colOff>
      <xdr:row>25</xdr:row>
      <xdr:rowOff>119968</xdr:rowOff>
    </xdr:to>
    <xdr:pic>
      <xdr:nvPicPr>
        <xdr:cNvPr id="6" name="Picture 5">
          <a:extLst>
            <a:ext uri="{FF2B5EF4-FFF2-40B4-BE49-F238E27FC236}">
              <a16:creationId xmlns:a16="http://schemas.microsoft.com/office/drawing/2014/main" id="{5E6BCD86-7EFC-2E58-7291-9E1D5922869C}"/>
            </a:ext>
          </a:extLst>
        </xdr:cNvPr>
        <xdr:cNvPicPr>
          <a:picLocks noChangeAspect="1"/>
        </xdr:cNvPicPr>
      </xdr:nvPicPr>
      <xdr:blipFill>
        <a:blip xmlns:r="http://schemas.openxmlformats.org/officeDocument/2006/relationships" r:embed="rId2"/>
        <a:stretch>
          <a:fillRect/>
        </a:stretch>
      </xdr:blipFill>
      <xdr:spPr>
        <a:xfrm>
          <a:off x="20585206" y="414619"/>
          <a:ext cx="4887007" cy="4467849"/>
        </a:xfrm>
        <a:prstGeom prst="rect">
          <a:avLst/>
        </a:prstGeom>
      </xdr:spPr>
    </xdr:pic>
    <xdr:clientData/>
  </xdr:twoCellAnchor>
  <xdr:twoCellAnchor editAs="oneCell">
    <xdr:from>
      <xdr:col>29</xdr:col>
      <xdr:colOff>224120</xdr:colOff>
      <xdr:row>27</xdr:row>
      <xdr:rowOff>22411</xdr:rowOff>
    </xdr:from>
    <xdr:to>
      <xdr:col>41</xdr:col>
      <xdr:colOff>69350</xdr:colOff>
      <xdr:row>60</xdr:row>
      <xdr:rowOff>118552</xdr:rowOff>
    </xdr:to>
    <xdr:pic>
      <xdr:nvPicPr>
        <xdr:cNvPr id="8" name="Picture 7">
          <a:extLst>
            <a:ext uri="{FF2B5EF4-FFF2-40B4-BE49-F238E27FC236}">
              <a16:creationId xmlns:a16="http://schemas.microsoft.com/office/drawing/2014/main" id="{DF2F1B5E-DEC5-9E6D-C2EC-47E4E111C11C}"/>
            </a:ext>
          </a:extLst>
        </xdr:cNvPr>
        <xdr:cNvPicPr>
          <a:picLocks noChangeAspect="1"/>
        </xdr:cNvPicPr>
      </xdr:nvPicPr>
      <xdr:blipFill>
        <a:blip xmlns:r="http://schemas.openxmlformats.org/officeDocument/2006/relationships" r:embed="rId3"/>
        <a:stretch>
          <a:fillRect/>
        </a:stretch>
      </xdr:blipFill>
      <xdr:spPr>
        <a:xfrm>
          <a:off x="20237826" y="5165911"/>
          <a:ext cx="7106642" cy="638264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114299</xdr:colOff>
      <xdr:row>18</xdr:row>
      <xdr:rowOff>50800</xdr:rowOff>
    </xdr:from>
    <xdr:to>
      <xdr:col>6</xdr:col>
      <xdr:colOff>520700</xdr:colOff>
      <xdr:row>35</xdr:row>
      <xdr:rowOff>127000</xdr:rowOff>
    </xdr:to>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146051</xdr:colOff>
      <xdr:row>0</xdr:row>
      <xdr:rowOff>41275</xdr:rowOff>
    </xdr:from>
    <xdr:to>
      <xdr:col>6</xdr:col>
      <xdr:colOff>533400</xdr:colOff>
      <xdr:row>17</xdr:row>
      <xdr:rowOff>117475</xdr:rowOff>
    </xdr:to>
    <xdr:graphicFrame macro="">
      <xdr:nvGraphicFramePr>
        <xdr:cNvPr id="3" name="Chart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50801</xdr:colOff>
      <xdr:row>0</xdr:row>
      <xdr:rowOff>60325</xdr:rowOff>
    </xdr:from>
    <xdr:to>
      <xdr:col>13</xdr:col>
      <xdr:colOff>558801</xdr:colOff>
      <xdr:row>17</xdr:row>
      <xdr:rowOff>136525</xdr:rowOff>
    </xdr:to>
    <xdr:graphicFrame macro="">
      <xdr:nvGraphicFramePr>
        <xdr:cNvPr id="4" name="Chart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88901</xdr:colOff>
      <xdr:row>18</xdr:row>
      <xdr:rowOff>38100</xdr:rowOff>
    </xdr:from>
    <xdr:to>
      <xdr:col>13</xdr:col>
      <xdr:colOff>520701</xdr:colOff>
      <xdr:row>35</xdr:row>
      <xdr:rowOff>114300</xdr:rowOff>
    </xdr:to>
    <xdr:graphicFrame macro="">
      <xdr:nvGraphicFramePr>
        <xdr:cNvPr id="6" name="Chart 5">
          <a:extLst>
            <a:ext uri="{FF2B5EF4-FFF2-40B4-BE49-F238E27FC236}">
              <a16:creationId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76201</xdr:colOff>
      <xdr:row>18</xdr:row>
      <xdr:rowOff>38100</xdr:rowOff>
    </xdr:from>
    <xdr:to>
      <xdr:col>20</xdr:col>
      <xdr:colOff>546101</xdr:colOff>
      <xdr:row>35</xdr:row>
      <xdr:rowOff>114300</xdr:rowOff>
    </xdr:to>
    <xdr:graphicFrame macro="">
      <xdr:nvGraphicFramePr>
        <xdr:cNvPr id="8" name="Chart 7">
          <a:extLst>
            <a:ext uri="{FF2B5EF4-FFF2-40B4-BE49-F238E27FC236}">
              <a16:creationId xmlns:a16="http://schemas.microsoft.com/office/drawing/2014/main" id="{00000000-0008-0000-0B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76201</xdr:colOff>
      <xdr:row>36</xdr:row>
      <xdr:rowOff>50800</xdr:rowOff>
    </xdr:from>
    <xdr:to>
      <xdr:col>20</xdr:col>
      <xdr:colOff>533401</xdr:colOff>
      <xdr:row>53</xdr:row>
      <xdr:rowOff>127000</xdr:rowOff>
    </xdr:to>
    <xdr:graphicFrame macro="">
      <xdr:nvGraphicFramePr>
        <xdr:cNvPr id="11" name="Chart 10">
          <a:extLst>
            <a:ext uri="{FF2B5EF4-FFF2-40B4-BE49-F238E27FC236}">
              <a16:creationId xmlns:a16="http://schemas.microsoft.com/office/drawing/2014/main" id="{00000000-0008-0000-0B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114301</xdr:colOff>
      <xdr:row>36</xdr:row>
      <xdr:rowOff>63500</xdr:rowOff>
    </xdr:from>
    <xdr:to>
      <xdr:col>27</xdr:col>
      <xdr:colOff>558801</xdr:colOff>
      <xdr:row>53</xdr:row>
      <xdr:rowOff>139700</xdr:rowOff>
    </xdr:to>
    <xdr:graphicFrame macro="">
      <xdr:nvGraphicFramePr>
        <xdr:cNvPr id="12" name="Chart 11">
          <a:extLst>
            <a:ext uri="{FF2B5EF4-FFF2-40B4-BE49-F238E27FC236}">
              <a16:creationId xmlns:a16="http://schemas.microsoft.com/office/drawing/2014/main" id="{00000000-0008-0000-0B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114301</xdr:colOff>
      <xdr:row>54</xdr:row>
      <xdr:rowOff>50800</xdr:rowOff>
    </xdr:from>
    <xdr:to>
      <xdr:col>13</xdr:col>
      <xdr:colOff>546101</xdr:colOff>
      <xdr:row>71</xdr:row>
      <xdr:rowOff>127000</xdr:rowOff>
    </xdr:to>
    <xdr:graphicFrame macro="">
      <xdr:nvGraphicFramePr>
        <xdr:cNvPr id="19" name="Chart 18">
          <a:extLst>
            <a:ext uri="{FF2B5EF4-FFF2-40B4-BE49-F238E27FC236}">
              <a16:creationId xmlns:a16="http://schemas.microsoft.com/office/drawing/2014/main" id="{00000000-0008-0000-0B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114301</xdr:colOff>
      <xdr:row>54</xdr:row>
      <xdr:rowOff>127000</xdr:rowOff>
    </xdr:from>
    <xdr:to>
      <xdr:col>20</xdr:col>
      <xdr:colOff>558801</xdr:colOff>
      <xdr:row>72</xdr:row>
      <xdr:rowOff>12700</xdr:rowOff>
    </xdr:to>
    <xdr:graphicFrame macro="">
      <xdr:nvGraphicFramePr>
        <xdr:cNvPr id="22" name="Chart 21">
          <a:extLst>
            <a:ext uri="{FF2B5EF4-FFF2-40B4-BE49-F238E27FC236}">
              <a16:creationId xmlns:a16="http://schemas.microsoft.com/office/drawing/2014/main" id="{00000000-0008-0000-0B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88901</xdr:colOff>
      <xdr:row>36</xdr:row>
      <xdr:rowOff>63500</xdr:rowOff>
    </xdr:from>
    <xdr:to>
      <xdr:col>13</xdr:col>
      <xdr:colOff>533401</xdr:colOff>
      <xdr:row>53</xdr:row>
      <xdr:rowOff>139700</xdr:rowOff>
    </xdr:to>
    <xdr:graphicFrame macro="">
      <xdr:nvGraphicFramePr>
        <xdr:cNvPr id="23" name="Chart 22">
          <a:extLst>
            <a:ext uri="{FF2B5EF4-FFF2-40B4-BE49-F238E27FC236}">
              <a16:creationId xmlns:a16="http://schemas.microsoft.com/office/drawing/2014/main" id="{00000000-0008-0000-0B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38101</xdr:colOff>
      <xdr:row>36</xdr:row>
      <xdr:rowOff>88900</xdr:rowOff>
    </xdr:from>
    <xdr:to>
      <xdr:col>6</xdr:col>
      <xdr:colOff>520701</xdr:colOff>
      <xdr:row>53</xdr:row>
      <xdr:rowOff>165100</xdr:rowOff>
    </xdr:to>
    <xdr:graphicFrame macro="">
      <xdr:nvGraphicFramePr>
        <xdr:cNvPr id="24" name="Chart 23">
          <a:extLst>
            <a:ext uri="{FF2B5EF4-FFF2-40B4-BE49-F238E27FC236}">
              <a16:creationId xmlns:a16="http://schemas.microsoft.com/office/drawing/2014/main" id="{00000000-0008-0000-0B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228601</xdr:colOff>
      <xdr:row>72</xdr:row>
      <xdr:rowOff>76200</xdr:rowOff>
    </xdr:from>
    <xdr:to>
      <xdr:col>6</xdr:col>
      <xdr:colOff>546101</xdr:colOff>
      <xdr:row>89</xdr:row>
      <xdr:rowOff>152400</xdr:rowOff>
    </xdr:to>
    <xdr:graphicFrame macro="">
      <xdr:nvGraphicFramePr>
        <xdr:cNvPr id="14" name="Chart 13">
          <a:extLst>
            <a:ext uri="{FF2B5EF4-FFF2-40B4-BE49-F238E27FC236}">
              <a16:creationId xmlns:a16="http://schemas.microsoft.com/office/drawing/2014/main" id="{5C1B4A04-A73B-4587-9506-7D4D4B2ED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76201</xdr:colOff>
      <xdr:row>73</xdr:row>
      <xdr:rowOff>50800</xdr:rowOff>
    </xdr:from>
    <xdr:to>
      <xdr:col>13</xdr:col>
      <xdr:colOff>495301</xdr:colOff>
      <xdr:row>90</xdr:row>
      <xdr:rowOff>127000</xdr:rowOff>
    </xdr:to>
    <xdr:graphicFrame macro="">
      <xdr:nvGraphicFramePr>
        <xdr:cNvPr id="15" name="Chart 14">
          <a:extLst>
            <a:ext uri="{FF2B5EF4-FFF2-40B4-BE49-F238E27FC236}">
              <a16:creationId xmlns:a16="http://schemas.microsoft.com/office/drawing/2014/main" id="{95A45919-0E78-4C55-9F15-CCEFA4FF5F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127001</xdr:colOff>
      <xdr:row>73</xdr:row>
      <xdr:rowOff>76200</xdr:rowOff>
    </xdr:from>
    <xdr:to>
      <xdr:col>20</xdr:col>
      <xdr:colOff>533401</xdr:colOff>
      <xdr:row>90</xdr:row>
      <xdr:rowOff>152400</xdr:rowOff>
    </xdr:to>
    <xdr:graphicFrame macro="">
      <xdr:nvGraphicFramePr>
        <xdr:cNvPr id="16" name="Chart 15">
          <a:extLst>
            <a:ext uri="{FF2B5EF4-FFF2-40B4-BE49-F238E27FC236}">
              <a16:creationId xmlns:a16="http://schemas.microsoft.com/office/drawing/2014/main" id="{CFC71D02-791C-4E4F-A20F-F981E2BCE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152401</xdr:colOff>
      <xdr:row>91</xdr:row>
      <xdr:rowOff>63500</xdr:rowOff>
    </xdr:from>
    <xdr:to>
      <xdr:col>6</xdr:col>
      <xdr:colOff>495301</xdr:colOff>
      <xdr:row>108</xdr:row>
      <xdr:rowOff>139700</xdr:rowOff>
    </xdr:to>
    <xdr:graphicFrame macro="">
      <xdr:nvGraphicFramePr>
        <xdr:cNvPr id="17" name="Chart 16">
          <a:extLst>
            <a:ext uri="{FF2B5EF4-FFF2-40B4-BE49-F238E27FC236}">
              <a16:creationId xmlns:a16="http://schemas.microsoft.com/office/drawing/2014/main" id="{9E6EB5B2-3AB5-4DD5-B620-18312DB61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127001</xdr:colOff>
      <xdr:row>54</xdr:row>
      <xdr:rowOff>76200</xdr:rowOff>
    </xdr:from>
    <xdr:to>
      <xdr:col>6</xdr:col>
      <xdr:colOff>495301</xdr:colOff>
      <xdr:row>71</xdr:row>
      <xdr:rowOff>152400</xdr:rowOff>
    </xdr:to>
    <xdr:graphicFrame macro="">
      <xdr:nvGraphicFramePr>
        <xdr:cNvPr id="18" name="Chart 17">
          <a:extLst>
            <a:ext uri="{FF2B5EF4-FFF2-40B4-BE49-F238E27FC236}">
              <a16:creationId xmlns:a16="http://schemas.microsoft.com/office/drawing/2014/main" id="{D1EC7446-13C0-4EEC-8F89-EA602DFE7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0.7975</cdr:x>
      <cdr:y>0.22648</cdr:y>
    </cdr:from>
    <cdr:to>
      <cdr:x>0.9825</cdr:x>
      <cdr:y>0.3126</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41040" y="721360"/>
          <a:ext cx="751840" cy="2743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15.xml><?xml version="1.0" encoding="utf-8"?>
<c:userShapes xmlns:c="http://schemas.openxmlformats.org/drawingml/2006/chart">
  <cdr:relSizeAnchor xmlns:cdr="http://schemas.openxmlformats.org/drawingml/2006/chartDrawing">
    <cdr:from>
      <cdr:x>0.80031</cdr:x>
      <cdr:y>0.21671</cdr:y>
    </cdr:from>
    <cdr:to>
      <cdr:x>0.98619</cdr:x>
      <cdr:y>0.30283</cdr:y>
    </cdr:to>
    <cdr:sp macro="" textlink="">
      <cdr:nvSpPr>
        <cdr:cNvPr id="2" name="TextBox 1">
          <a:extLst xmlns:a="http://schemas.openxmlformats.org/drawingml/2006/main">
            <a:ext uri="{FF2B5EF4-FFF2-40B4-BE49-F238E27FC236}">
              <a16:creationId xmlns:a16="http://schemas.microsoft.com/office/drawing/2014/main" id="{A4A63B89-0AFE-07D9-BD41-ABB73B82414D}"/>
            </a:ext>
          </a:extLst>
        </cdr:cNvPr>
        <cdr:cNvSpPr txBox="1"/>
      </cdr:nvSpPr>
      <cdr:spPr>
        <a:xfrm xmlns:a="http://schemas.openxmlformats.org/drawingml/2006/main">
          <a:off x="3237229" y="690245"/>
          <a:ext cx="751840" cy="2743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000" i="1">
              <a:solidFill>
                <a:schemeClr val="tx1">
                  <a:lumMod val="65000"/>
                  <a:lumOff val="35000"/>
                </a:schemeClr>
              </a:solidFill>
            </a:rPr>
            <a:t>Forecast --&gt;</a:t>
          </a:r>
        </a:p>
      </cdr:txBody>
    </cdr:sp>
  </cdr:relSizeAnchor>
</c:userShapes>
</file>

<file path=xl/drawings/drawing16.xml><?xml version="1.0" encoding="utf-8"?>
<c:userShapes xmlns:c="http://schemas.openxmlformats.org/drawingml/2006/chart">
  <cdr:relSizeAnchor xmlns:cdr="http://schemas.openxmlformats.org/drawingml/2006/chartDrawing">
    <cdr:from>
      <cdr:x>0.79024</cdr:x>
      <cdr:y>0.21691</cdr:y>
    </cdr:from>
    <cdr:to>
      <cdr:x>0.97073</cdr:x>
      <cdr:y>0.30303</cdr:y>
    </cdr:to>
    <cdr:sp macro="" textlink="">
      <cdr:nvSpPr>
        <cdr:cNvPr id="2" name="TextBox 1">
          <a:extLst xmlns:a="http://schemas.openxmlformats.org/drawingml/2006/main">
            <a:ext uri="{FF2B5EF4-FFF2-40B4-BE49-F238E27FC236}">
              <a16:creationId xmlns:a16="http://schemas.microsoft.com/office/drawing/2014/main" id="{B5C6BBC4-935D-3C8F-9D10-E228632F9EF8}"/>
            </a:ext>
          </a:extLst>
        </cdr:cNvPr>
        <cdr:cNvSpPr txBox="1"/>
      </cdr:nvSpPr>
      <cdr:spPr>
        <a:xfrm xmlns:a="http://schemas.openxmlformats.org/drawingml/2006/main">
          <a:off x="3291840" y="690880"/>
          <a:ext cx="751840" cy="2743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17.xml><?xml version="1.0" encoding="utf-8"?>
<c:userShapes xmlns:c="http://schemas.openxmlformats.org/drawingml/2006/chart">
  <cdr:relSizeAnchor xmlns:cdr="http://schemas.openxmlformats.org/drawingml/2006/chartDrawing">
    <cdr:from>
      <cdr:x>0.80497</cdr:x>
      <cdr:y>0.20096</cdr:y>
    </cdr:from>
    <cdr:to>
      <cdr:x>0.98882</cdr:x>
      <cdr:y>0.28708</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91850" y="640090"/>
          <a:ext cx="751836" cy="27430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18.xml><?xml version="1.0" encoding="utf-8"?>
<c:userShapes xmlns:c="http://schemas.openxmlformats.org/drawingml/2006/chart">
  <cdr:relSizeAnchor xmlns:cdr="http://schemas.openxmlformats.org/drawingml/2006/chartDrawing">
    <cdr:from>
      <cdr:x>0.81231</cdr:x>
      <cdr:y>0.75598</cdr:y>
    </cdr:from>
    <cdr:to>
      <cdr:x>0.99447</cdr:x>
      <cdr:y>0.84211</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352790" y="2407917"/>
          <a:ext cx="751866" cy="27433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19.xml><?xml version="1.0" encoding="utf-8"?>
<c:userShapes xmlns:c="http://schemas.openxmlformats.org/drawingml/2006/chart">
  <cdr:relSizeAnchor xmlns:cdr="http://schemas.openxmlformats.org/drawingml/2006/chartDrawing">
    <cdr:from>
      <cdr:x>0.79013</cdr:x>
      <cdr:y>0.16268</cdr:y>
    </cdr:from>
    <cdr:to>
      <cdr:x>0.97284</cdr:x>
      <cdr:y>0.2488</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51220" y="518162"/>
          <a:ext cx="751815" cy="27430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2.xml><?xml version="1.0" encoding="utf-8"?>
<c:userShapes xmlns:c="http://schemas.openxmlformats.org/drawingml/2006/chart">
  <cdr:relSizeAnchor xmlns:cdr="http://schemas.openxmlformats.org/drawingml/2006/chartDrawing">
    <cdr:from>
      <cdr:x>0.78858</cdr:x>
      <cdr:y>0.13509</cdr:y>
    </cdr:from>
    <cdr:to>
      <cdr:x>0.9824</cdr:x>
      <cdr:y>0.20718</cdr:y>
    </cdr:to>
    <cdr:sp macro="" textlink="">
      <cdr:nvSpPr>
        <cdr:cNvPr id="2" name="TextBox 1">
          <a:extLst xmlns:a="http://schemas.openxmlformats.org/drawingml/2006/main">
            <a:ext uri="{FF2B5EF4-FFF2-40B4-BE49-F238E27FC236}">
              <a16:creationId xmlns:a16="http://schemas.microsoft.com/office/drawing/2014/main" id="{013A2898-12CB-65E0-17AC-2F674CC7B9CB}"/>
            </a:ext>
          </a:extLst>
        </cdr:cNvPr>
        <cdr:cNvSpPr txBox="1"/>
      </cdr:nvSpPr>
      <cdr:spPr>
        <a:xfrm xmlns:a="http://schemas.openxmlformats.org/drawingml/2006/main">
          <a:off x="3819979" y="459014"/>
          <a:ext cx="938893" cy="24492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kern="1200"/>
            <a:t>Forecast -----&gt;</a:t>
          </a:r>
        </a:p>
      </cdr:txBody>
    </cdr:sp>
  </cdr:relSizeAnchor>
</c:userShapes>
</file>

<file path=xl/drawings/drawing20.xml><?xml version="1.0" encoding="utf-8"?>
<c:userShapes xmlns:c="http://schemas.openxmlformats.org/drawingml/2006/chart">
  <cdr:relSizeAnchor xmlns:cdr="http://schemas.openxmlformats.org/drawingml/2006/chartDrawing">
    <cdr:from>
      <cdr:x>0.80248</cdr:x>
      <cdr:y>0.71132</cdr:y>
    </cdr:from>
    <cdr:to>
      <cdr:x>0.98576</cdr:x>
      <cdr:y>0.79745</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91856" y="2265668"/>
          <a:ext cx="751833" cy="27433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21.xml><?xml version="1.0" encoding="utf-8"?>
<c:userShapes xmlns:c="http://schemas.openxmlformats.org/drawingml/2006/chart">
  <cdr:relSizeAnchor xmlns:cdr="http://schemas.openxmlformats.org/drawingml/2006/chartDrawing">
    <cdr:from>
      <cdr:x>0.8</cdr:x>
      <cdr:y>0.76555</cdr:y>
    </cdr:from>
    <cdr:to>
      <cdr:x>0.98385</cdr:x>
      <cdr:y>0.85167</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71520" y="2438400"/>
          <a:ext cx="751840" cy="2743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22.xml><?xml version="1.0" encoding="utf-8"?>
<c:userShapes xmlns:c="http://schemas.openxmlformats.org/drawingml/2006/chart">
  <cdr:relSizeAnchor xmlns:cdr="http://schemas.openxmlformats.org/drawingml/2006/chartDrawing">
    <cdr:from>
      <cdr:x>0.79257</cdr:x>
      <cdr:y>0.21103</cdr:y>
    </cdr:from>
    <cdr:to>
      <cdr:x>0.97585</cdr:x>
      <cdr:y>0.29736</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51200" y="670560"/>
          <a:ext cx="751840" cy="2743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23.xml><?xml version="1.0" encoding="utf-8"?>
<c:userShapes xmlns:c="http://schemas.openxmlformats.org/drawingml/2006/chart">
  <cdr:relSizeAnchor xmlns:cdr="http://schemas.openxmlformats.org/drawingml/2006/chartDrawing">
    <cdr:from>
      <cdr:x>0.78266</cdr:x>
      <cdr:y>0.14992</cdr:y>
    </cdr:from>
    <cdr:to>
      <cdr:x>0.96594</cdr:x>
      <cdr:y>0.23604</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10560" y="477520"/>
          <a:ext cx="751840" cy="2743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24.xml><?xml version="1.0" encoding="utf-8"?>
<c:userShapes xmlns:c="http://schemas.openxmlformats.org/drawingml/2006/chart">
  <cdr:relSizeAnchor xmlns:cdr="http://schemas.openxmlformats.org/drawingml/2006/chartDrawing">
    <cdr:from>
      <cdr:x>0.79755</cdr:x>
      <cdr:y>0.27113</cdr:y>
    </cdr:from>
    <cdr:to>
      <cdr:x>0.97914</cdr:x>
      <cdr:y>0.35726</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302000" y="863600"/>
          <a:ext cx="751840" cy="2743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25.xml><?xml version="1.0" encoding="utf-8"?>
<c:userShapes xmlns:c="http://schemas.openxmlformats.org/drawingml/2006/chart">
  <cdr:relSizeAnchor xmlns:cdr="http://schemas.openxmlformats.org/drawingml/2006/chartDrawing">
    <cdr:from>
      <cdr:x>0.80575</cdr:x>
      <cdr:y>0.1563</cdr:y>
    </cdr:from>
    <cdr:to>
      <cdr:x>0.99489</cdr:x>
      <cdr:y>0.24242</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02940" y="497840"/>
          <a:ext cx="751840" cy="2743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26.xml><?xml version="1.0" encoding="utf-8"?>
<c:userShapes xmlns:c="http://schemas.openxmlformats.org/drawingml/2006/chart">
  <cdr:relSizeAnchor xmlns:cdr="http://schemas.openxmlformats.org/drawingml/2006/chartDrawing">
    <cdr:from>
      <cdr:x>0.80498</cdr:x>
      <cdr:y>0.15949</cdr:y>
    </cdr:from>
    <cdr:to>
      <cdr:x>0.98941</cdr:x>
      <cdr:y>0.24561</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81680" y="508000"/>
          <a:ext cx="751840" cy="2743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27.xml><?xml version="1.0" encoding="utf-8"?>
<c:userShapes xmlns:c="http://schemas.openxmlformats.org/drawingml/2006/chart">
  <cdr:relSizeAnchor xmlns:cdr="http://schemas.openxmlformats.org/drawingml/2006/chartDrawing">
    <cdr:from>
      <cdr:x>0.8075</cdr:x>
      <cdr:y>0.76236</cdr:y>
    </cdr:from>
    <cdr:to>
      <cdr:x>0.9925</cdr:x>
      <cdr:y>0.84848</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81680" y="2428239"/>
          <a:ext cx="751840" cy="27430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28.xml><?xml version="1.0" encoding="utf-8"?>
<c:userShapes xmlns:c="http://schemas.openxmlformats.org/drawingml/2006/chart">
  <cdr:relSizeAnchor xmlns:cdr="http://schemas.openxmlformats.org/drawingml/2006/chartDrawing">
    <cdr:from>
      <cdr:x>0.81206</cdr:x>
      <cdr:y>0.14673</cdr:y>
    </cdr:from>
    <cdr:to>
      <cdr:x>1</cdr:x>
      <cdr:y>0.23285</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248660" y="467360"/>
          <a:ext cx="751840" cy="2743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29.xml><?xml version="1.0" encoding="utf-8"?>
<c:userShapes xmlns:c="http://schemas.openxmlformats.org/drawingml/2006/chart">
  <cdr:relSizeAnchor xmlns:cdr="http://schemas.openxmlformats.org/drawingml/2006/chartDrawing">
    <cdr:from>
      <cdr:x>0.79243</cdr:x>
      <cdr:y>0.76555</cdr:y>
    </cdr:from>
    <cdr:to>
      <cdr:x>0.97918</cdr:x>
      <cdr:y>0.85167</cdr:y>
    </cdr:to>
    <cdr:sp macro="" textlink="">
      <cdr:nvSpPr>
        <cdr:cNvPr id="2" name="TextBox 1">
          <a:extLst xmlns:a="http://schemas.openxmlformats.org/drawingml/2006/main">
            <a:ext uri="{FF2B5EF4-FFF2-40B4-BE49-F238E27FC236}">
              <a16:creationId xmlns:a16="http://schemas.microsoft.com/office/drawing/2014/main" id="{D00E6953-BD25-8D41-3485-D2E54F3BA374}"/>
            </a:ext>
          </a:extLst>
        </cdr:cNvPr>
        <cdr:cNvSpPr txBox="1"/>
      </cdr:nvSpPr>
      <cdr:spPr>
        <a:xfrm xmlns:a="http://schemas.openxmlformats.org/drawingml/2006/main">
          <a:off x="3190240" y="2438400"/>
          <a:ext cx="751840" cy="2743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i="1">
              <a:solidFill>
                <a:schemeClr val="tx1">
                  <a:lumMod val="65000"/>
                  <a:lumOff val="35000"/>
                </a:schemeClr>
              </a:solidFill>
            </a:rPr>
            <a:t>Forecast --&gt;</a:t>
          </a:r>
        </a:p>
      </cdr:txBody>
    </cdr:sp>
  </cdr:relSizeAnchor>
</c:userShapes>
</file>

<file path=xl/drawings/drawing3.xml><?xml version="1.0" encoding="utf-8"?>
<c:userShapes xmlns:c="http://schemas.openxmlformats.org/drawingml/2006/chart">
  <cdr:relSizeAnchor xmlns:cdr="http://schemas.openxmlformats.org/drawingml/2006/chartDrawing">
    <cdr:from>
      <cdr:x>0.78649</cdr:x>
      <cdr:y>0.15198</cdr:y>
    </cdr:from>
    <cdr:to>
      <cdr:x>0.98169</cdr:x>
      <cdr:y>0.22331</cdr:y>
    </cdr:to>
    <cdr:sp macro="" textlink="">
      <cdr:nvSpPr>
        <cdr:cNvPr id="2" name="TextBox 1">
          <a:extLst xmlns:a="http://schemas.openxmlformats.org/drawingml/2006/main">
            <a:ext uri="{FF2B5EF4-FFF2-40B4-BE49-F238E27FC236}">
              <a16:creationId xmlns:a16="http://schemas.microsoft.com/office/drawing/2014/main" id="{4E38AD8A-DD41-6BC2-C590-0BA8C1F59C55}"/>
            </a:ext>
          </a:extLst>
        </cdr:cNvPr>
        <cdr:cNvSpPr txBox="1"/>
      </cdr:nvSpPr>
      <cdr:spPr>
        <a:xfrm xmlns:a="http://schemas.openxmlformats.org/drawingml/2006/main">
          <a:off x="3782784" y="521872"/>
          <a:ext cx="938893" cy="24492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900" kern="1200"/>
            <a:t>Forecast -----&gt;</a:t>
          </a:r>
        </a:p>
      </cdr:txBody>
    </cdr:sp>
  </cdr:relSizeAnchor>
</c:userShapes>
</file>

<file path=xl/drawings/drawing4.xml><?xml version="1.0" encoding="utf-8"?>
<c:userShapes xmlns:c="http://schemas.openxmlformats.org/drawingml/2006/chart">
  <cdr:relSizeAnchor xmlns:cdr="http://schemas.openxmlformats.org/drawingml/2006/chartDrawing">
    <cdr:from>
      <cdr:x>0.78193</cdr:x>
      <cdr:y>0.1722</cdr:y>
    </cdr:from>
    <cdr:to>
      <cdr:x>0.98757</cdr:x>
      <cdr:y>0.2425</cdr:y>
    </cdr:to>
    <cdr:sp macro="" textlink="">
      <cdr:nvSpPr>
        <cdr:cNvPr id="2" name="TextBox 1">
          <a:extLst xmlns:a="http://schemas.openxmlformats.org/drawingml/2006/main">
            <a:ext uri="{FF2B5EF4-FFF2-40B4-BE49-F238E27FC236}">
              <a16:creationId xmlns:a16="http://schemas.microsoft.com/office/drawing/2014/main" id="{9653C5C0-204B-D7E6-3F62-2051CF1A98D4}"/>
            </a:ext>
          </a:extLst>
        </cdr:cNvPr>
        <cdr:cNvSpPr txBox="1"/>
      </cdr:nvSpPr>
      <cdr:spPr>
        <a:xfrm xmlns:a="http://schemas.openxmlformats.org/drawingml/2006/main">
          <a:off x="3228578" y="586547"/>
          <a:ext cx="849085" cy="2394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i="1">
              <a:solidFill>
                <a:schemeClr val="tx1">
                  <a:lumMod val="75000"/>
                  <a:lumOff val="25000"/>
                </a:schemeClr>
              </a:solidFill>
            </a:rPr>
            <a:t>Forecast --&gt;</a:t>
          </a:r>
        </a:p>
      </cdr:txBody>
    </cdr:sp>
  </cdr:relSizeAnchor>
</c:userShapes>
</file>

<file path=xl/drawings/drawing5.xml><?xml version="1.0" encoding="utf-8"?>
<c:userShapes xmlns:c="http://schemas.openxmlformats.org/drawingml/2006/chart">
  <cdr:relSizeAnchor xmlns:cdr="http://schemas.openxmlformats.org/drawingml/2006/chartDrawing">
    <cdr:from>
      <cdr:x>0.76676</cdr:x>
      <cdr:y>0.15062</cdr:y>
    </cdr:from>
    <cdr:to>
      <cdr:x>0.96004</cdr:x>
      <cdr:y>0.22443</cdr:y>
    </cdr:to>
    <cdr:sp macro="" textlink="">
      <cdr:nvSpPr>
        <cdr:cNvPr id="2" name="TextBox 1">
          <a:extLst xmlns:a="http://schemas.openxmlformats.org/drawingml/2006/main">
            <a:ext uri="{FF2B5EF4-FFF2-40B4-BE49-F238E27FC236}">
              <a16:creationId xmlns:a16="http://schemas.microsoft.com/office/drawing/2014/main" id="{0A0EB071-60B9-D5E5-730E-BCF59FF16FD0}"/>
            </a:ext>
          </a:extLst>
        </cdr:cNvPr>
        <cdr:cNvSpPr txBox="1"/>
      </cdr:nvSpPr>
      <cdr:spPr>
        <a:xfrm xmlns:a="http://schemas.openxmlformats.org/drawingml/2006/main">
          <a:off x="3724729" y="499835"/>
          <a:ext cx="938893" cy="24492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kern="1200"/>
            <a:t>Forecast -----&gt;</a:t>
          </a:r>
        </a:p>
      </cdr:txBody>
    </cdr:sp>
  </cdr:relSizeAnchor>
</c:userShapes>
</file>

<file path=xl/drawings/drawing6.xml><?xml version="1.0" encoding="utf-8"?>
<c:userShapes xmlns:c="http://schemas.openxmlformats.org/drawingml/2006/chart">
  <cdr:relSizeAnchor xmlns:cdr="http://schemas.openxmlformats.org/drawingml/2006/chartDrawing">
    <cdr:from>
      <cdr:x>0.7891</cdr:x>
      <cdr:y>0.14259</cdr:y>
    </cdr:from>
    <cdr:to>
      <cdr:x>0.98585</cdr:x>
      <cdr:y>0.21442</cdr:y>
    </cdr:to>
    <cdr:sp macro="" textlink="">
      <cdr:nvSpPr>
        <cdr:cNvPr id="2" name="TextBox 1">
          <a:extLst xmlns:a="http://schemas.openxmlformats.org/drawingml/2006/main">
            <a:ext uri="{FF2B5EF4-FFF2-40B4-BE49-F238E27FC236}">
              <a16:creationId xmlns:a16="http://schemas.microsoft.com/office/drawing/2014/main" id="{E5E3D3DA-A5B8-4698-6D80-ED8C9ACCC448}"/>
            </a:ext>
          </a:extLst>
        </cdr:cNvPr>
        <cdr:cNvSpPr txBox="1"/>
      </cdr:nvSpPr>
      <cdr:spPr>
        <a:xfrm xmlns:a="http://schemas.openxmlformats.org/drawingml/2006/main">
          <a:off x="3765550" y="486229"/>
          <a:ext cx="938893" cy="24492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kern="1200"/>
            <a:t>Forecast -----&gt;</a:t>
          </a:r>
        </a:p>
      </cdr:txBody>
    </cdr:sp>
  </cdr:relSizeAnchor>
</c:userShapes>
</file>

<file path=xl/drawings/drawing7.xml><?xml version="1.0" encoding="utf-8"?>
<xdr:wsDr xmlns:xdr="http://schemas.openxmlformats.org/drawingml/2006/spreadsheetDrawing" xmlns:a="http://schemas.openxmlformats.org/drawingml/2006/main">
  <xdr:twoCellAnchor>
    <xdr:from>
      <xdr:col>29</xdr:col>
      <xdr:colOff>566737</xdr:colOff>
      <xdr:row>3</xdr:row>
      <xdr:rowOff>133351</xdr:rowOff>
    </xdr:from>
    <xdr:to>
      <xdr:col>37</xdr:col>
      <xdr:colOff>219075</xdr:colOff>
      <xdr:row>20</xdr:row>
      <xdr:rowOff>47625</xdr:rowOff>
    </xdr:to>
    <xdr:graphicFrame macro="">
      <xdr:nvGraphicFramePr>
        <xdr:cNvPr id="2" name="Chart 1">
          <a:extLst>
            <a:ext uri="{FF2B5EF4-FFF2-40B4-BE49-F238E27FC236}">
              <a16:creationId xmlns:a16="http://schemas.microsoft.com/office/drawing/2014/main" id="{9904571A-E353-4B98-A992-DB6479F5FB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604837</xdr:colOff>
      <xdr:row>21</xdr:row>
      <xdr:rowOff>0</xdr:rowOff>
    </xdr:from>
    <xdr:to>
      <xdr:col>37</xdr:col>
      <xdr:colOff>266700</xdr:colOff>
      <xdr:row>37</xdr:row>
      <xdr:rowOff>142875</xdr:rowOff>
    </xdr:to>
    <xdr:graphicFrame macro="">
      <xdr:nvGraphicFramePr>
        <xdr:cNvPr id="4" name="Chart 3">
          <a:extLst>
            <a:ext uri="{FF2B5EF4-FFF2-40B4-BE49-F238E27FC236}">
              <a16:creationId xmlns:a16="http://schemas.microsoft.com/office/drawing/2014/main" id="{49BE7CAD-F217-4EBB-9244-351B13AF8C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387348</xdr:colOff>
      <xdr:row>24</xdr:row>
      <xdr:rowOff>101600</xdr:rowOff>
    </xdr:from>
    <xdr:to>
      <xdr:col>7</xdr:col>
      <xdr:colOff>457199</xdr:colOff>
      <xdr:row>40</xdr:row>
      <xdr:rowOff>165100</xdr:rowOff>
    </xdr:to>
    <xdr:graphicFrame macro="">
      <xdr:nvGraphicFramePr>
        <xdr:cNvPr id="4" name="Chart 3">
          <a:extLst>
            <a:ext uri="{FF2B5EF4-FFF2-40B4-BE49-F238E27FC236}">
              <a16:creationId xmlns:a16="http://schemas.microsoft.com/office/drawing/2014/main" id="{40F3A018-CA3F-DC2A-3E88-52048E32B8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546100</xdr:colOff>
      <xdr:row>24</xdr:row>
      <xdr:rowOff>114300</xdr:rowOff>
    </xdr:from>
    <xdr:to>
      <xdr:col>11</xdr:col>
      <xdr:colOff>584200</xdr:colOff>
      <xdr:row>40</xdr:row>
      <xdr:rowOff>177800</xdr:rowOff>
    </xdr:to>
    <xdr:graphicFrame macro="">
      <xdr:nvGraphicFramePr>
        <xdr:cNvPr id="8" name="Chart 7">
          <a:extLst>
            <a:ext uri="{FF2B5EF4-FFF2-40B4-BE49-F238E27FC236}">
              <a16:creationId xmlns:a16="http://schemas.microsoft.com/office/drawing/2014/main" id="{2470B98A-52A0-44F4-A998-1DF16DD604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736600</xdr:colOff>
      <xdr:row>24</xdr:row>
      <xdr:rowOff>50800</xdr:rowOff>
    </xdr:from>
    <xdr:to>
      <xdr:col>16</xdr:col>
      <xdr:colOff>279400</xdr:colOff>
      <xdr:row>40</xdr:row>
      <xdr:rowOff>114300</xdr:rowOff>
    </xdr:to>
    <xdr:graphicFrame macro="">
      <xdr:nvGraphicFramePr>
        <xdr:cNvPr id="9" name="Chart 8">
          <a:extLst>
            <a:ext uri="{FF2B5EF4-FFF2-40B4-BE49-F238E27FC236}">
              <a16:creationId xmlns:a16="http://schemas.microsoft.com/office/drawing/2014/main" id="{84062FE8-1FF6-4B73-A5B0-4DA070C604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190500</xdr:colOff>
      <xdr:row>42</xdr:row>
      <xdr:rowOff>101600</xdr:rowOff>
    </xdr:from>
    <xdr:to>
      <xdr:col>7</xdr:col>
      <xdr:colOff>330200</xdr:colOff>
      <xdr:row>58</xdr:row>
      <xdr:rowOff>165100</xdr:rowOff>
    </xdr:to>
    <xdr:graphicFrame macro="">
      <xdr:nvGraphicFramePr>
        <xdr:cNvPr id="10" name="Chart 9">
          <a:extLst>
            <a:ext uri="{FF2B5EF4-FFF2-40B4-BE49-F238E27FC236}">
              <a16:creationId xmlns:a16="http://schemas.microsoft.com/office/drawing/2014/main" id="{8ED71A34-1D5E-4F72-AFFD-5DF81E5494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508000</xdr:colOff>
      <xdr:row>42</xdr:row>
      <xdr:rowOff>88900</xdr:rowOff>
    </xdr:from>
    <xdr:to>
      <xdr:col>11</xdr:col>
      <xdr:colOff>647700</xdr:colOff>
      <xdr:row>58</xdr:row>
      <xdr:rowOff>152400</xdr:rowOff>
    </xdr:to>
    <xdr:graphicFrame macro="">
      <xdr:nvGraphicFramePr>
        <xdr:cNvPr id="11" name="Chart 10">
          <a:extLst>
            <a:ext uri="{FF2B5EF4-FFF2-40B4-BE49-F238E27FC236}">
              <a16:creationId xmlns:a16="http://schemas.microsoft.com/office/drawing/2014/main" id="{D7176FDD-6319-446E-80EB-FA5E95711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871221</xdr:colOff>
      <xdr:row>64</xdr:row>
      <xdr:rowOff>137160</xdr:rowOff>
    </xdr:from>
    <xdr:to>
      <xdr:col>14</xdr:col>
      <xdr:colOff>774701</xdr:colOff>
      <xdr:row>85</xdr:row>
      <xdr:rowOff>152400</xdr:rowOff>
    </xdr:to>
    <xdr:graphicFrame macro="">
      <xdr:nvGraphicFramePr>
        <xdr:cNvPr id="5" name="Chart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781048</xdr:colOff>
      <xdr:row>86</xdr:row>
      <xdr:rowOff>6348</xdr:rowOff>
    </xdr:from>
    <xdr:to>
      <xdr:col>14</xdr:col>
      <xdr:colOff>711199</xdr:colOff>
      <xdr:row>112</xdr:row>
      <xdr:rowOff>88899</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lean%20Fuels\2026%20Forecast\Supporting%20Documents\ODOT%20inputs%20for%202026%20Clean%20Fuels%20Forecast.xlsx" TargetMode="External"/><Relationship Id="rId1" Type="http://schemas.openxmlformats.org/officeDocument/2006/relationships/externalLinkPath" Target="Supporting%20Documents/ODOT%20inputs%20for%202026%20Clean%20Fuels%20Forec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arterly Work"/>
      <sheetName val="Chart2"/>
      <sheetName val="History-most recent forecast"/>
      <sheetName val="VMT forecast to HCAS April 2021"/>
      <sheetName val="HUS Annual Weight Mile Data"/>
    </sheetNames>
    <sheetDataSet>
      <sheetData sheetId="0">
        <row r="39">
          <cell r="J39">
            <v>7.0435926335497001E-3</v>
          </cell>
        </row>
        <row r="40">
          <cell r="J40">
            <v>5.8080957984134596E-3</v>
          </cell>
          <cell r="Q40">
            <v>2.2673643518967612E-2</v>
          </cell>
        </row>
        <row r="41">
          <cell r="J41">
            <v>7.9001271957674923E-3</v>
          </cell>
          <cell r="Q41">
            <v>-1.4605280389346276E-2</v>
          </cell>
        </row>
        <row r="42">
          <cell r="J42">
            <v>8.6099379372979179E-3</v>
          </cell>
          <cell r="Q42">
            <v>-1.6930410772507676E-2</v>
          </cell>
        </row>
        <row r="43">
          <cell r="J43">
            <v>-1.0241140506129232E-2</v>
          </cell>
          <cell r="Q43">
            <v>-1.4958542374928441E-2</v>
          </cell>
        </row>
        <row r="44">
          <cell r="J44">
            <v>-9.5877544727137609E-3</v>
          </cell>
          <cell r="Q44">
            <v>-2.5152618977202224E-3</v>
          </cell>
        </row>
        <row r="45">
          <cell r="J45">
            <v>-1.5504477446145137E-2</v>
          </cell>
          <cell r="Q45">
            <v>8.3451692930180954E-4</v>
          </cell>
        </row>
        <row r="46">
          <cell r="J46">
            <v>-1.9464145905979446E-2</v>
          </cell>
          <cell r="Q46">
            <v>1.6956296981009977E-3</v>
          </cell>
        </row>
        <row r="55">
          <cell r="C55">
            <v>-1.1531428822663781E-2</v>
          </cell>
          <cell r="P55">
            <v>-8.3485318850944346E-3</v>
          </cell>
        </row>
        <row r="56">
          <cell r="C56">
            <v>-0.12787605793120127</v>
          </cell>
          <cell r="P56">
            <v>9.5416214354566264E-2</v>
          </cell>
        </row>
        <row r="57">
          <cell r="C57">
            <v>8.4952476556695133E-2</v>
          </cell>
          <cell r="P57">
            <v>8.623857635197929E-2</v>
          </cell>
        </row>
        <row r="58">
          <cell r="C58">
            <v>-2.2279331424463367E-2</v>
          </cell>
          <cell r="P58">
            <v>-2.5424022559094706E-2</v>
          </cell>
        </row>
        <row r="59">
          <cell r="C59">
            <v>5.0690935369352985E-3</v>
          </cell>
          <cell r="P59">
            <v>2.9500766556796787E-2</v>
          </cell>
        </row>
        <row r="60">
          <cell r="C60">
            <v>-1.9707932414778417E-2</v>
          </cell>
          <cell r="P60">
            <v>-3.0877363630981036E-2</v>
          </cell>
        </row>
        <row r="61">
          <cell r="C61">
            <v>7.3388505454812236E-3</v>
          </cell>
          <cell r="P61">
            <v>7.1197271969358766E-4</v>
          </cell>
        </row>
        <row r="62">
          <cell r="C62">
            <v>-1.3753343520640393E-2</v>
          </cell>
          <cell r="P62">
            <v>-3.412742229892074E-3</v>
          </cell>
        </row>
        <row r="78">
          <cell r="C78">
            <v>-1.0758133099356249E-2</v>
          </cell>
          <cell r="P78">
            <v>2.1993635769910869E-2</v>
          </cell>
        </row>
      </sheetData>
      <sheetData sheetId="1" refreshError="1"/>
      <sheetData sheetId="2"/>
      <sheetData sheetId="3"/>
      <sheetData sheetId="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SA Mitchell * DAS" refreshedDate="45485.585711342595" backgroundQuery="1" createdVersion="8" refreshedVersion="8" minRefreshableVersion="3" recordCount="499" xr:uid="{A7D25BEF-25C7-41FB-90CB-89C96B04193D}">
  <cacheSource type="external" connectionId="7"/>
  <cacheFields count="8">
    <cacheField name="period" numFmtId="0">
      <sharedItems containsSemiMixedTypes="0" containsNonDate="0" containsDate="1" containsString="0" minDate="2018-01-01T00:00:00" maxDate="2024-01-02T00:00:00" count="7">
        <d v="2018-01-01T00:00:00"/>
        <d v="2019-01-01T00:00:00"/>
        <d v="2020-01-01T00:00:00"/>
        <d v="2021-01-01T00:00:00"/>
        <d v="2022-01-01T00:00:00"/>
        <d v="2023-01-01T00:00:00"/>
        <d v="2024-01-01T00:00:00"/>
      </sharedItems>
    </cacheField>
    <cacheField name="cfp_id" numFmtId="0">
      <sharedItems containsMixedTypes="1" containsNumber="1" containsInteger="1" minValue="1000" maxValue="7765" count="187">
        <s v="3360"/>
        <s v="3367"/>
        <s v="3368"/>
        <s v="3383"/>
        <s v="3697"/>
        <s v="3702"/>
        <s v="3758"/>
        <s v="3805"/>
        <s v="3919"/>
        <s v="3994"/>
        <s v="4015"/>
        <s v="4054"/>
        <s v="4061"/>
        <s v="4063"/>
        <s v="4094"/>
        <s v="4137"/>
        <s v="4285"/>
        <s v="4305"/>
        <s v="4552"/>
        <s v="4664"/>
        <s v="4727"/>
        <s v="4728"/>
        <s v="4735"/>
        <s v="4736"/>
        <s v="4740"/>
        <s v="4754"/>
        <s v="4755"/>
        <s v="4764"/>
        <s v="4766"/>
        <s v="4769"/>
        <s v="4783"/>
        <s v="4789"/>
        <s v="4791"/>
        <s v="4792"/>
        <s v="4793"/>
        <s v="4803"/>
        <s v="4804"/>
        <s v="4810"/>
        <s v="4827"/>
        <s v="4831"/>
        <s v="4846"/>
        <s v="4887"/>
        <s v="4888"/>
        <s v="5026"/>
        <s v="5046"/>
        <s v="5049"/>
        <s v="5073"/>
        <s v="5078"/>
        <s v="5095"/>
        <s v="5214"/>
        <s v="5715"/>
        <s v="5934"/>
        <s v="5953"/>
        <s v="5981"/>
        <s v="6094"/>
        <s v="6129"/>
        <s v="6130"/>
        <s v="6137"/>
        <s v="6169"/>
        <s v="6268"/>
        <s v="6320"/>
        <s v="6322"/>
        <s v="6326"/>
        <s v="6412"/>
        <s v="7765"/>
        <s v="3514"/>
        <s v="4060"/>
        <s v="4320"/>
        <s v="4805"/>
        <s v="5769"/>
        <s v="6274"/>
        <s v="6497"/>
        <s v="3683"/>
        <s v="5504"/>
        <s v="6459"/>
        <s v="C9999"/>
        <s v="H9999"/>
        <s v="1000"/>
        <s v="1001"/>
        <s v="1166"/>
        <s v="3652"/>
        <s v="4528"/>
        <s v="6523"/>
        <s v="1773"/>
        <s v="3723"/>
        <s v="3862"/>
        <s v="4786"/>
        <s v="5998"/>
        <s v="6222"/>
        <s v="E9999"/>
        <s v="1440"/>
        <s v="1876"/>
        <s v="4814"/>
        <s v="6072"/>
        <s v="9871"/>
        <s v="C100"/>
        <s v="C1000"/>
        <s v="C1001"/>
        <s v="C1004"/>
        <s v="1111"/>
        <n v="1166" u="1"/>
        <n v="4305" u="1"/>
        <n v="4831" u="1"/>
        <n v="4764" u="1"/>
        <n v="5934" u="1"/>
        <n v="4528" u="1"/>
        <n v="4783" u="1"/>
        <n v="5953" u="1"/>
        <n v="6326" u="1"/>
        <n v="6412" u="1"/>
        <n v="3652" u="1"/>
        <n v="5073" u="1"/>
        <n v="3805" u="1"/>
        <n v="4735" u="1"/>
        <n v="4786" u="1"/>
        <n v="4888" u="1"/>
        <n v="4060" u="1"/>
        <n v="4754" u="1"/>
        <n v="4805" u="1"/>
        <n v="4789" u="1"/>
        <n v="5095" u="1"/>
        <n v="4792" u="1"/>
        <n v="4063" u="1"/>
        <n v="6268" u="1"/>
        <n v="4827" u="1"/>
        <n v="3368" u="1"/>
        <n v="4285" u="1"/>
        <n v="6523" u="1"/>
        <n v="3360" u="1"/>
        <n v="5981" u="1"/>
        <n v="4320" u="1"/>
        <n v="4846" u="1"/>
        <n v="6169" u="1"/>
        <n v="4728" u="1"/>
        <n v="6322" u="1"/>
        <n v="6459" u="1"/>
        <n v="6137" u="1"/>
        <n v="3862" u="1"/>
        <n v="4015" u="1"/>
        <n v="6274" u="1"/>
        <n v="1000" u="1"/>
        <n v="4664" u="1"/>
        <n v="4766" u="1"/>
        <n v="1773" u="1"/>
        <n v="6497" u="1"/>
        <n v="4887" u="1"/>
        <n v="4769" u="1"/>
        <n v="4804" u="1"/>
        <n v="4061" u="1"/>
        <n v="4552" u="1"/>
        <n v="5078" u="1"/>
        <n v="3994" u="1"/>
        <n v="6130" u="1"/>
        <n v="4740" u="1"/>
        <n v="4791" u="1"/>
        <n v="3723" u="1"/>
        <n v="5046" u="1"/>
        <n v="4810" u="1"/>
        <n v="3919" u="1"/>
        <n v="3758" u="1"/>
        <n v="5049" u="1"/>
        <n v="4727" u="1"/>
        <n v="3683" u="1"/>
        <n v="3514" u="1"/>
        <n v="6222" u="1"/>
        <n v="7765" u="1"/>
        <n v="4137" u="1"/>
        <n v="5715" u="1"/>
        <n v="3702" u="1"/>
        <n v="5769" u="1"/>
        <n v="4803" u="1"/>
        <n v="4736" u="1"/>
        <n v="4094" u="1"/>
        <n v="6094" u="1"/>
        <n v="5026" u="1"/>
        <n v="4755" u="1"/>
        <n v="3383" u="1"/>
        <n v="6129" u="1"/>
        <n v="3697" u="1"/>
        <n v="5214" u="1"/>
        <n v="1001" u="1"/>
        <n v="3367" u="1"/>
        <n v="4054" u="1"/>
        <n v="5504" u="1"/>
        <n v="4793" u="1"/>
        <n v="6320" u="1"/>
        <n v="5998" u="1"/>
      </sharedItems>
    </cacheField>
    <cacheField name="company_name" numFmtId="0">
      <sharedItems/>
    </cacheField>
    <cacheField name="city" numFmtId="0">
      <sharedItems containsBlank="1" count="179">
        <s v="Ord"/>
        <s v="Seattle"/>
        <s v="Central City"/>
        <s v="Janesville"/>
        <s v="Boardman"/>
        <s v="Burley"/>
        <s v="Stockton"/>
        <s v="Quata"/>
        <s v="Hamilton"/>
        <s v="Costa Pinto"/>
        <s v="Delta"/>
        <s v="Sinclair"/>
        <s v="Heron Lake"/>
        <s v="Garden City"/>
        <s v="Redfield"/>
        <s v="Atwater"/>
        <s v="Aberdeen"/>
        <s v="Huron"/>
        <s v="Singapore"/>
        <s v="Deerfield"/>
        <s v="Albert Lea"/>
        <s v="Sgt. Bluff"/>
        <s v="St. Joseph"/>
        <s v="Batesville"/>
        <s v="Chancellor"/>
        <s v="Marcus"/>
        <s v="Yuma"/>
        <s v="Big Stone City"/>
        <s v="Oakley"/>
        <s v="Trenton"/>
        <s v="Lakota"/>
        <s v="Mina"/>
        <s v="Watertown"/>
        <s v="Sterling"/>
        <s v="Granite Falls"/>
        <s v="Coon Rapids"/>
        <s v="Mitchell"/>
        <s v="Hudson"/>
        <s v="Emmetsburg"/>
        <s v="Groton"/>
        <s v="Richardton"/>
        <s v="Benson"/>
        <s v="Wentworth"/>
        <s v="Winthrop"/>
        <s v="Adams"/>
        <s v="Guymon"/>
        <s v="Mexico"/>
        <s v="Columbus"/>
        <s v="Velva"/>
        <s v="Jackson"/>
        <s v="Corning"/>
        <s v="St. Ansgar"/>
        <s v="Shenandoah"/>
        <s v="Plainview"/>
        <s v="Madrid"/>
        <s v="Sutherland"/>
        <s v="Liberal"/>
        <s v="Bridgeport"/>
        <s v="Shiheung-City"/>
        <s v="Foam Lake"/>
        <s v="Ulju-gun"/>
        <s v="Salem"/>
        <s v="Mason City"/>
        <s v="Lloydminster"/>
        <s v="Hankinson"/>
        <s v="Geismar"/>
        <s v="Louisville"/>
        <s v="Waynesburg"/>
        <s v="Beatrice"/>
        <s v="Hoquiam"/>
        <s v="St Joseph"/>
        <s v="El Paso"/>
        <s v="Newton"/>
        <s v="Quatá"/>
        <s v="Piracicaba"/>
        <s v="Sioux City"/>
        <s v="Blaine"/>
        <s v="Groton_x000a_"/>
        <s v="Ravenna"/>
        <s v="Kansas City"/>
        <s v="PYEONGTAEK-SI"/>
        <s v="Ulsan"/>
        <s v="Onida"/>
        <s v="Athens"/>
        <s v="Iowa Falls"/>
        <s v="Euless"/>
        <s v="Springfield"/>
        <s v="SAINT-THOMAS"/>
        <s v="Avondale"/>
        <s v="Sacramento"/>
        <s v="Sacremento"/>
        <s v="Dickinson"/>
        <s v="Seneca"/>
        <s v="Rodeo"/>
        <s v="CAMPBELLSPORT"/>
        <s v="OUTLOOK"/>
        <s v="Kersey"/>
        <s v="Lethbridge"/>
        <s v="DANVILLE"/>
        <s v="Sandusky"/>
        <m/>
        <s v="Jewell"/>
        <s v="HILBERT"/>
        <s v="CLEBURNE"/>
        <s v="CROSSETT"/>
        <s v="NEW ALBANY"/>
        <s v="SENECA FALLS"/>
        <s v="IMPERIAL"/>
        <s v="Aumsville"/>
        <s v="Lynden"/>
        <s v="Point Reyes"/>
        <s v="Filer"/>
        <s v="Milford"/>
        <s v="GREAT FALLS"/>
        <s v="Minden"/>
        <s v="Bakersfield"/>
        <s v="KEWAUNEE"/>
        <s v="Brillion"/>
        <s v="STURGEON BAY"/>
        <s v="Port Arthur"/>
        <s v="Norco"/>
        <s v="Coachella"/>
        <s v="Enumclaw"/>
        <s v="Mount Vernon"/>
        <s v=" Kansas City"/>
        <s v=" POSEUNGGONGDANSUNHWAN-RO"/>
        <s v=" Hankinson"/>
        <s v=" St Joseph"/>
        <s v=" Dickinson"/>
        <s v=" Singapore"/>
        <s v=" Rodeo"/>
        <s v=" Seneca"/>
        <s v=" Sandusky"/>
        <s v=" Bridgeport"/>
        <s v=" ATWATER"/>
        <s v=" Benson"/>
        <s v=" Euless"/>
        <s v=" Louisville"/>
        <s v=" Shiheung-City"/>
        <s v=" Albert Lea"/>
        <s v=" Corning"/>
        <s v=" Iowa Falls"/>
        <s v=" Delta"/>
        <s v=" Bakersfield"/>
        <s v=" Portland"/>
        <s v=" Oakley"/>
        <s v=" Onida"/>
        <s v=" Sioux City"/>
        <s v=" Wentworth"/>
        <s v=" Geismar"/>
        <s v=" Hoquiam"/>
        <s v=" Mason City"/>
        <s v=" Hamilton"/>
        <s v=" Richardton"/>
        <s v=" Blaine"/>
        <s v=" Hudson"/>
        <s v=" Boardman"/>
        <s v=" Madrid"/>
        <s v=" Groton"/>
        <s v=" Redfield"/>
        <s v=" Mitchell"/>
        <s v=" Big Stone City"/>
        <s v=" Coon Rapids"/>
        <s v=" Adams"/>
        <s v=" Mina"/>
        <s v=" Watertown"/>
        <s v=" Batesville"/>
        <s v=" Yuma"/>
        <s v=" Chancellor"/>
        <s v=" Guymon"/>
        <s v=" Newton"/>
        <s v=" Aberdeen"/>
        <s v=" Huron"/>
        <s v=" Plainview"/>
        <s v=" Ravenna"/>
        <s v=" Sinclair"/>
        <s v=" Jackson"/>
        <s v=" Sterling"/>
        <s v=" Trenton"/>
      </sharedItems>
    </cacheField>
    <cacheField name="state" numFmtId="0">
      <sharedItems containsBlank="1" count="45">
        <s v="NE"/>
        <s v="WA"/>
        <s v="MN"/>
        <s v="OR"/>
        <s v="ID"/>
        <s v="CA"/>
        <s v="Brazil"/>
        <s v="Canada"/>
        <s v="WY"/>
        <s v="KS"/>
        <s v="SD"/>
        <s v="Singapore"/>
        <s v="MO"/>
        <s v="IA"/>
        <s v="AR"/>
        <s v="CO"/>
        <s v="ND"/>
        <s v="OK"/>
        <s v="Korea"/>
        <s v="LA"/>
        <s v="KY"/>
        <s v="OH"/>
        <s v="TX"/>
        <s v="TN"/>
        <s v="IL"/>
        <s v="WI"/>
        <s v="PA"/>
        <s v="MI"/>
        <s v="MS"/>
        <s v="NY"/>
        <s v="UT"/>
        <s v="MT"/>
        <s v="South Kore"/>
        <s v="SouthKorea"/>
        <m u="1"/>
        <s v="QC" u="1"/>
        <s v="Quebec" u="1"/>
        <s v="Kyonggi-do" u="1"/>
        <s v="Saskatchewan" u="1"/>
        <s v="Alberta" u="1"/>
        <s v="Ulju-gun" u="1"/>
        <s v="SP" u="1"/>
        <s v="British Columbia" u="1"/>
        <s v="Ontario" u="1"/>
        <s v="GYEONGGI-DO" u="1"/>
      </sharedItems>
    </cacheField>
    <cacheField name="fuel_name" numFmtId="0">
      <sharedItems count="19">
        <s v="Ethanol"/>
        <s v="Biodiesel"/>
        <s v="Renewable Diesel"/>
        <s v="Natural Gas"/>
        <s v="Compressed Natural Gas"/>
        <s v="Liquefied Petroleum Gas_x000a_"/>
        <s v="Hydrogen"/>
        <s v="Renewable Propane"/>
        <s v="Electricity"/>
        <s v="Renewable Naphtha"/>
        <s v="Liquefied Natural Gas"/>
        <s v="Diesel_Renew" u="1"/>
        <s v="Electricity_x000a_" u="1"/>
        <s v="Ethanol_x000a_" u="1"/>
        <s v="Biodiesel_x000a_" u="1"/>
        <s v="Compressed Natural Gas_x000a_" u="1"/>
        <s v="Renewable Diesel_x000a_" u="1"/>
        <s v="Hydrogen_x000a_" u="1"/>
        <s v="Renewable Propane_x000a_" u="1"/>
      </sharedItems>
    </cacheField>
    <cacheField name="CI" numFmtId="0">
      <sharedItems containsSemiMixedTypes="0" containsString="0" containsNumber="1" minValue="-698.21" maxValue="156.13" count="332">
        <n v="62.64"/>
        <n v="28.59"/>
        <n v="58.51"/>
        <n v="62.4"/>
        <n v="52.644999999999996"/>
        <n v="54"/>
        <n v="55.3"/>
        <n v="49.27"/>
        <n v="30.083333333333332"/>
        <n v="41.24"/>
        <n v="20.38"/>
        <n v="56.55"/>
        <n v="65.13"/>
        <n v="65.180000000000007"/>
        <n v="61.8"/>
        <n v="62.555000000000007"/>
        <n v="56.760000000000005"/>
        <n v="64.7"/>
        <n v="32.478750000000005"/>
        <n v="49.16"/>
        <n v="27.900000000000002"/>
        <n v="50"/>
        <n v="50.46"/>
        <n v="32.524999999999999"/>
        <n v="53.284999999999997"/>
        <n v="63.405000000000001"/>
        <n v="55.48"/>
        <n v="67.819999999999993"/>
        <n v="60.663333333333334"/>
        <n v="57.55"/>
        <n v="69.22"/>
        <n v="67.989999999999995"/>
        <n v="67.010000000000005"/>
        <n v="57.6"/>
        <n v="62.1"/>
        <n v="66.599999999999994"/>
        <n v="58.388333333333343"/>
        <n v="67.52"/>
        <n v="65.78"/>
        <n v="67.3"/>
        <n v="67.180000000000007"/>
        <n v="60.349999999999994"/>
        <n v="63.414999999999992"/>
        <n v="68.040000000000006"/>
        <n v="58.475000000000001"/>
        <n v="35.880000000000003"/>
        <n v="50.85"/>
        <n v="69.27"/>
        <n v="52.25"/>
        <n v="54.861666666666672"/>
        <n v="66.16"/>
        <n v="64.489999999999995"/>
        <n v="62.67"/>
        <n v="57.68"/>
        <n v="59.58"/>
        <n v="57.63"/>
        <n v="69.435000000000002"/>
        <n v="55.23"/>
        <n v="26.84"/>
        <n v="59.24"/>
        <n v="20"/>
        <n v="15.43"/>
        <n v="40.772500000000001"/>
        <n v="51.33"/>
        <n v="60.11"/>
        <n v="34.866666666666667"/>
        <n v="63.96"/>
        <n v="43.97"/>
        <n v="42.959999999999994"/>
        <n v="43.025999999999996"/>
        <n v="37.28"/>
        <n v="25.7"/>
        <n v="34.1"/>
        <n v="51.48"/>
        <n v="58.38"/>
        <n v="54.629999999999995"/>
        <n v="59.489999999999995"/>
        <n v="59.99666666666667"/>
        <n v="31.509999999999998"/>
        <n v="30.140000000000004"/>
        <n v="26.92"/>
        <n v="45.263333333333328"/>
        <n v="54.596000000000004"/>
        <n v="53"/>
        <n v="58.994999999999997"/>
        <n v="60.709999999999994"/>
        <n v="56.594999999999999"/>
        <n v="50.25"/>
        <n v="36.167500000000004"/>
        <n v="54.94"/>
        <n v="27.48"/>
        <n v="36.969000000000001"/>
        <n v="33.988"/>
        <n v="61.605000000000004"/>
        <n v="56.77"/>
        <n v="37.366666666666667"/>
        <n v="30.862499999999997"/>
        <n v="51.98"/>
        <n v="35.166666666666664"/>
        <n v="52.995000000000005"/>
        <n v="54.25"/>
        <n v="20.99"/>
        <n v="43.775000000000006"/>
        <n v="56.6"/>
        <n v="54.88"/>
        <n v="30.88666666666667"/>
        <n v="29.704999999999998"/>
        <n v="49.38"/>
        <n v="52.64"/>
        <n v="52.18"/>
        <n v="58.424999999999997"/>
        <n v="58.41"/>
        <n v="52.24"/>
        <n v="61.174999999999997"/>
        <n v="49.457499999999996"/>
        <n v="54.53"/>
        <n v="54.13"/>
        <n v="44.043333333333329"/>
        <n v="43.3"/>
        <n v="45.3"/>
        <n v="52.73"/>
        <n v="50.2"/>
        <n v="24.936666666666664"/>
        <n v="34.43333333333333"/>
        <n v="44.656666666666666"/>
        <n v="32.214285714285715"/>
        <n v="31.964285714285715"/>
        <n v="36.549999999999997"/>
        <n v="47.88"/>
        <n v="154.63999999999999"/>
        <n v="70.55"/>
        <n v="45"/>
        <n v="36.04"/>
        <n v="65"/>
        <n v="59.75"/>
        <n v="-150"/>
        <n v="34.952500000000001"/>
        <n v="58.164999999999999"/>
        <n v="70"/>
        <n v="43.815714285714286"/>
        <n v="55"/>
        <n v="32.571428571428569"/>
        <n v="53.643333333333338"/>
        <n v="36.383333333333333"/>
        <n v="16.13"/>
        <n v="42.885000000000005"/>
        <n v="34.76"/>
        <n v="31.013333333333335"/>
        <n v="54.82"/>
        <n v="55.25333333333333"/>
        <n v="52.81"/>
        <n v="53.57"/>
        <n v="35.185000000000002"/>
        <n v="49.46"/>
        <n v="53.18"/>
        <n v="58.866666666666667"/>
        <n v="59.95"/>
        <n v="49.543333333333329"/>
        <n v="46.4"/>
        <n v="48.166666666666664"/>
        <n v="48.45333333333334"/>
        <n v="49.236666666666657"/>
        <n v="55.8"/>
        <n v="45.97"/>
        <n v="53.97"/>
        <n v="46.41"/>
        <n v="43.293333333333329"/>
        <n v="47.083333333333336"/>
        <n v="39.520000000000003"/>
        <n v="47.199999999999996"/>
        <n v="45.48"/>
        <n v="30.58"/>
        <n v="28.97"/>
        <n v="30.77"/>
        <n v="46.51"/>
        <n v="45.35"/>
        <n v="33.950000000000003"/>
        <n v="57.84"/>
        <n v="54.93"/>
        <n v="68.300000000000011"/>
        <n v="-218.32666666666668"/>
        <n v="-40.406666666666659"/>
        <n v="-637.45000000000005"/>
        <n v="-698.21"/>
        <n v="-563.76499999999999"/>
        <n v="156.13"/>
        <n v="40.927999999999997"/>
        <n v="34.909999999999997"/>
        <n v="43.425000000000004"/>
        <n v="43.558571428571426"/>
        <n v="33.285714285714285"/>
        <n v="53.545000000000002"/>
        <n v="32.859999999999992"/>
        <n v="41.994999999999997"/>
        <n v="56.18"/>
        <n v="54.2"/>
        <n v="27.51799999999999"/>
        <n v="51.5"/>
        <n v="47.699999999999996"/>
        <n v="35.525000000000006"/>
        <n v="51.75"/>
        <n v="49.896666666666668"/>
        <n v="59.155000000000001"/>
        <n v="46.640000000000008"/>
        <n v="59.954999999999998"/>
        <n v="54.12"/>
        <n v="49.543333333333337"/>
        <n v="47.066666666666656"/>
        <n v="48.166666666666671"/>
        <n v="49.23666666666665"/>
        <n v="36.454999999999998"/>
        <n v="45.97999999999999"/>
        <n v="48.140000000000015"/>
        <n v="23.084000000000003"/>
        <n v="54.64"/>
        <n v="29.509999999999998"/>
        <n v="37.93"/>
        <n v="47.083333333333329"/>
        <n v="39.519999999999996"/>
        <n v="43.43"/>
        <n v="-219.36"/>
        <n v="-194.77"/>
        <n v="46.725000000000001"/>
        <n v="-204.07"/>
        <n v="-344.39"/>
        <n v="-271.64"/>
        <n v="51.08"/>
        <n v="31.67"/>
        <n v="32"/>
        <n v="30"/>
        <n v="34.64"/>
        <n v="24.936666666666657"/>
        <n v="34.433333333333337"/>
        <n v="43.733333333333327"/>
        <n v="31.714285714285715"/>
        <n v="59.464444444444425"/>
        <n v="56.78"/>
        <n v="51"/>
        <n v="29.58"/>
        <n v="31.48"/>
        <n v="68.930000000000007"/>
        <n v="24.173333333333336"/>
        <n v="-293.26"/>
        <n v="-597.30999999999995"/>
        <n v="43.64"/>
        <n v="-642.02"/>
        <n v="-240.83"/>
        <n v="-157.93"/>
        <n v="32.799999999999997"/>
        <n v="29.83"/>
        <n v="56.81"/>
        <n v="26.94"/>
        <n v="37.4"/>
        <n v="14.51"/>
        <n v="50.62"/>
        <n v="64.290000000000006"/>
        <n v="46.116666666666667"/>
        <n v="57.11"/>
        <n v="37.58"/>
        <n v="12.75"/>
        <n v="54.6"/>
        <n v="54.75"/>
        <n v="23.196000000000002"/>
        <n v="25.76"/>
        <n v="56.49"/>
        <n v="15"/>
        <n v="58.765000000000001"/>
        <n v="42.446666666666665"/>
        <n v="52.16"/>
        <n v="59.15"/>
        <n v="50.655999999999999"/>
        <n v="25.75"/>
        <n v="48"/>
        <n v="40.409999999999997"/>
        <n v="32.75"/>
        <n v="45.245000000000005"/>
        <n v="23.305"/>
        <n v="57.54"/>
        <n v="63"/>
        <n v="26.49"/>
        <n v="59.474999999999994"/>
        <n v="50.5"/>
        <n v="46.5"/>
        <n v="53.91"/>
        <n v="54.655000000000001"/>
        <n v="43.93"/>
        <n v="60.3"/>
        <n v="26.73"/>
        <n v="55.51"/>
        <n v="55.954999999999998"/>
        <n v="48.386666666666663"/>
        <n v="31.813333333333333"/>
        <n v="42.5"/>
        <n v="57.922499999999999"/>
        <n v="24.06"/>
        <n v="31.18"/>
        <n v="59.305"/>
        <n v="23.333333333333332"/>
        <n v="55.08"/>
        <n v="58.9"/>
        <n v="60.68"/>
        <n v="0"/>
        <n v="29.64"/>
        <n v="39.115000000000002"/>
        <n v="54.22"/>
        <n v="52.5"/>
        <n v="37.160000000000004"/>
        <n v="62.734999999999999"/>
        <n v="28.46"/>
        <n v="61.56"/>
        <n v="55.726666666666667"/>
        <n v="29.47666666666667"/>
        <n v="54.61"/>
        <n v="28.125"/>
        <n v="39.125"/>
        <n v="21.625"/>
        <n v="58.67"/>
        <n v="60.134999999999998"/>
        <n v="33.28"/>
        <n v="39.03"/>
        <n v="45.433333333333337"/>
        <n v="31.821428571428573"/>
        <n v="39.953333333333326"/>
        <n v="27.37"/>
        <n v="37.65"/>
        <n v="53.6"/>
        <n v="51.83"/>
        <n v="27.25"/>
        <n v="48.49"/>
        <n v="47.20000000000001" u="1"/>
        <n v="42.884999999999998" u="1"/>
        <n v="30.862500000000001" u="1"/>
      </sharedItems>
    </cacheField>
    <cacheField name="Capacity" numFmtId="0">
      <sharedItems containsString="0" containsBlank="1" containsNumber="1" minValue="0" maxValue="2147483647"/>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ENNEDY Michael  * DAS" refreshedDate="45929.321605671299" backgroundQuery="1" createdVersion="8" refreshedVersion="8" minRefreshableVersion="3" recordCount="2886" xr:uid="{C761B4C3-E5E4-4A69-91BA-98866A10DE43}">
  <cacheSource type="external" connectionId="8"/>
  <cacheFields count="7">
    <cacheField name="data_type" numFmtId="0">
      <sharedItems count="4">
        <s v="CI"/>
        <s v="credit"/>
        <s v="deficit"/>
        <s v="volume"/>
      </sharedItems>
    </cacheField>
    <cacheField name="fuel_name" numFmtId="0">
      <sharedItems count="28">
        <s v="Bio_CNG"/>
        <s v="Biodiesel"/>
        <s v="Diesel_Renew"/>
        <s v="Electricity"/>
        <s v="Ethanol"/>
        <s v="Liq_Pet_Renew"/>
        <s v="alt_jet_fuel"/>
        <s v="Bio_LNG"/>
        <s v="Diesel"/>
        <s v="Diesel_B20"/>
        <s v="Diesel_B5"/>
        <s v="Electricity_Off_Fixed"/>
        <s v="Electricity_Off_Fork"/>
        <s v="Electricity_Off_Other"/>
        <s v="Electricity_On"/>
        <s v="electricity_res_base"/>
        <s v="electricity_res_inc"/>
        <s v="Ethanol&lt;55"/>
        <s v="Ethanol&gt;75"/>
        <s v="Ethanol55-65"/>
        <s v="Ethanol65-75"/>
        <s v="Fossil_CNG"/>
        <s v="Fossil_LNG"/>
        <s v="Gasoline"/>
        <s v="Gasoline_E10"/>
        <s v="hydrogen"/>
        <s v="Liq_Petroleum"/>
        <s v="Electricity_Res"/>
      </sharedItems>
      <fieldGroup par="6"/>
    </cacheField>
    <cacheField name="period" numFmtId="0">
      <sharedItems containsSemiMixedTypes="0" containsNonDate="0" containsDate="1" containsString="0" minDate="2016-01-01T00:00:00" maxDate="2025-01-02T00:00:00" count="37">
        <d v="2016-01-01T00:00:00"/>
        <d v="2016-04-01T00:00:00"/>
        <d v="2016-07-01T00:00:00"/>
        <d v="2016-10-01T00:00:00"/>
        <d v="2017-01-01T00:00:00"/>
        <d v="2017-04-01T00:00:00"/>
        <d v="2017-07-01T00:00:00"/>
        <d v="2017-10-01T00:00:00"/>
        <d v="2018-01-01T00:00:00"/>
        <d v="2018-04-01T00:00:00"/>
        <d v="2018-07-01T00:00:00"/>
        <d v="2018-10-01T00:00:00"/>
        <d v="2019-01-01T00:00:00"/>
        <d v="2019-04-01T00:00:00"/>
        <d v="2019-07-01T00:00:00"/>
        <d v="2019-10-01T00:00:00"/>
        <d v="2020-01-01T00:00:00"/>
        <d v="2020-04-01T00:00:00"/>
        <d v="2020-07-01T00:00:00"/>
        <d v="2020-10-01T00:00:00"/>
        <d v="2021-01-01T00:00:00"/>
        <d v="2021-04-01T00:00:00"/>
        <d v="2021-07-01T00:00:00"/>
        <d v="2021-10-01T00:00:00"/>
        <d v="2022-01-01T00:00:00"/>
        <d v="2022-04-01T00:00:00"/>
        <d v="2022-07-01T00:00:00"/>
        <d v="2022-10-01T00:00:00"/>
        <d v="2023-01-01T00:00:00"/>
        <d v="2023-04-01T00:00:00"/>
        <d v="2023-07-01T00:00:00"/>
        <d v="2023-10-01T00:00:00"/>
        <d v="2024-01-01T00:00:00"/>
        <d v="2024-04-01T00:00:00"/>
        <d v="2024-07-01T00:00:00"/>
        <d v="2024-10-01T00:00:00"/>
        <d v="2025-01-01T00:00:00"/>
      </sharedItems>
    </cacheField>
    <cacheField name="quantity" numFmtId="0">
      <sharedItems containsString="0" containsBlank="1" containsNumber="1" minValue="-21909644" maxValue="398951677"/>
    </cacheField>
    <cacheField name="fuel_category" numFmtId="0">
      <sharedItems count="10">
        <s v="Natural Gas"/>
        <s v="Biodiesel"/>
        <s v="Diesel_Renew"/>
        <s v="Electricity"/>
        <s v="Ethanol"/>
        <s v="Liq_Petroleum_Gas"/>
        <s v="Jet_Fuel"/>
        <s v="Diesel"/>
        <s v="Gasoline"/>
        <s v="Hydrogen"/>
      </sharedItems>
    </cacheField>
    <cacheField name="fuel_type" numFmtId="0">
      <sharedItems count="5">
        <s v="Alternative"/>
        <s v="Biodiesel"/>
        <s v="Diesel_Renew"/>
        <s v="Ethanol"/>
        <s v="Fossil"/>
      </sharedItems>
    </cacheField>
    <cacheField name="fuel_name2" numFmtId="0" databaseField="0">
      <fieldGroup base="1">
        <discretePr count="28">
          <x v="3"/>
          <x v="0"/>
          <x v="1"/>
          <x v="24"/>
          <x v="2"/>
          <x v="18"/>
          <x v="22"/>
          <x v="4"/>
          <x v="5"/>
          <x v="6"/>
          <x v="7"/>
          <x v="20"/>
          <x v="20"/>
          <x v="20"/>
          <x v="8"/>
          <x v="21"/>
          <x v="21"/>
          <x v="9"/>
          <x v="10"/>
          <x v="11"/>
          <x v="12"/>
          <x v="13"/>
          <x v="14"/>
          <x v="15"/>
          <x v="16"/>
          <x v="17"/>
          <x v="19"/>
          <x v="23"/>
        </discretePr>
        <groupItems count="25">
          <s v="Biodiesel"/>
          <s v="Diesel_Renew"/>
          <s v="Ethanol"/>
          <s v="Bio_CNG"/>
          <s v="Bio_LNG"/>
          <s v="Diesel"/>
          <s v="Diesel_B20"/>
          <s v="Diesel_B5"/>
          <s v="Electricity_On"/>
          <s v="Ethanol&lt;55"/>
          <s v="Ethanol&gt;75"/>
          <s v="Ethanol55-65"/>
          <s v="Ethanol65-75"/>
          <s v="Fossil_CNG"/>
          <s v="Fossil_LNG"/>
          <s v="Gasoline"/>
          <s v="Gasoline_E10"/>
          <s v="hydrogen"/>
          <s v="Liq_Pet_Renew"/>
          <s v="Liq_Petroleum"/>
          <s v="Group1"/>
          <s v="Group2"/>
          <s v="alt_jet_fuel"/>
          <s v="Electricity_Res"/>
          <s v="Electricity"/>
        </groupItems>
      </fieldGroup>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ENNEDY Michael  * DAS" refreshedDate="45929.414421180554" backgroundQuery="1" createdVersion="8" refreshedVersion="8" minRefreshableVersion="3" recordCount="415" xr:uid="{BC02DB3E-392A-4FFA-86FE-9011CA8E8366}">
  <cacheSource type="external" connectionId="6"/>
  <cacheFields count="5">
    <cacheField name="forecast_date" numFmtId="0">
      <sharedItems containsSemiMixedTypes="0" containsNonDate="0" containsDate="1" containsString="0" minDate="2018-01-01T00:00:00" maxDate="2026-01-02T00:00:00" count="9">
        <d v="2018-01-01T00:00:00"/>
        <d v="2019-01-01T00:00:00"/>
        <d v="2020-01-01T00:00:00"/>
        <d v="2021-01-01T00:00:00"/>
        <d v="2022-01-01T00:00:00"/>
        <d v="2023-01-01T00:00:00"/>
        <d v="2024-01-01T00:00:00"/>
        <d v="2025-01-01T00:00:00"/>
        <d v="2026-01-01T00:00:00"/>
      </sharedItems>
    </cacheField>
    <cacheField name="period" numFmtId="0">
      <sharedItems containsSemiMixedTypes="0" containsNonDate="0" containsDate="1" containsString="0" minDate="2018-01-01T00:00:00" maxDate="2026-01-02T00:00:00" count="9">
        <d v="2018-01-01T00:00:00"/>
        <d v="2019-01-01T00:00:00"/>
        <d v="2020-01-01T00:00:00"/>
        <d v="2021-01-01T00:00:00"/>
        <d v="2022-01-01T00:00:00"/>
        <d v="2023-01-01T00:00:00"/>
        <d v="2024-01-01T00:00:00"/>
        <d v="2025-01-01T00:00:00"/>
        <d v="2026-01-01T00:00:00"/>
      </sharedItems>
    </cacheField>
    <cacheField name="fuel_name" numFmtId="0">
      <sharedItems count="19">
        <s v="Biodiesel"/>
        <s v="Biogas"/>
        <s v="CBOB"/>
        <s v="diesel"/>
        <s v="Diesel_Renew"/>
        <s v="EEReon"/>
        <s v="EERng"/>
        <s v="Electricity_On"/>
        <s v="Ethanol"/>
        <s v="Fossil_CNG"/>
        <s v="Fossil_LNG"/>
        <s v="gasoline"/>
        <s v="gasoline_E10"/>
        <s v="Hydrogen"/>
        <s v="Jet_Fuel"/>
        <s v="KWh_vehicle"/>
        <s v="Liq_Petroleum"/>
        <s v="Electricity_Off"/>
        <s v="Natural_Gas"/>
      </sharedItems>
    </cacheField>
    <cacheField name="parameter_name" numFmtId="0">
      <sharedItems count="6">
        <s v="CI_Actual"/>
        <s v="EnDen"/>
        <s v="CI_Target"/>
        <s v="Parameter"/>
        <s v="Growth Rate"/>
        <s v="Blend Rate"/>
      </sharedItems>
    </cacheField>
    <cacheField name="value" numFmtId="0">
      <sharedItems containsString="0" containsBlank="1" containsNumber="1" minValue="-0.106" maxValue="310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9">
  <r>
    <x v="0"/>
    <x v="0"/>
    <s v="Green Plains Ord LLC"/>
    <x v="0"/>
    <x v="0"/>
    <x v="0"/>
    <x v="0"/>
    <m/>
  </r>
  <r>
    <x v="0"/>
    <x v="1"/>
    <s v="General Biodiesel Seattle, LLC"/>
    <x v="1"/>
    <x v="1"/>
    <x v="1"/>
    <x v="1"/>
    <n v="5000000"/>
  </r>
  <r>
    <x v="0"/>
    <x v="2"/>
    <s v="Green Plains Central City LLC"/>
    <x v="2"/>
    <x v="0"/>
    <x v="0"/>
    <x v="2"/>
    <m/>
  </r>
  <r>
    <x v="0"/>
    <x v="3"/>
    <s v="Guardian Energy Janesville"/>
    <x v="3"/>
    <x v="2"/>
    <x v="0"/>
    <x v="3"/>
    <m/>
  </r>
  <r>
    <x v="0"/>
    <x v="4"/>
    <s v="Pacific Ethanol Holding Co LLC"/>
    <x v="4"/>
    <x v="3"/>
    <x v="0"/>
    <x v="4"/>
    <n v="43045800"/>
  </r>
  <r>
    <x v="0"/>
    <x v="4"/>
    <s v="Pacific Ethanol Holding Co LLC"/>
    <x v="5"/>
    <x v="4"/>
    <x v="0"/>
    <x v="5"/>
    <n v="75330150"/>
  </r>
  <r>
    <x v="0"/>
    <x v="4"/>
    <s v="Pacific Ethanol Holding Co LLC"/>
    <x v="6"/>
    <x v="5"/>
    <x v="0"/>
    <x v="6"/>
    <m/>
  </r>
  <r>
    <x v="0"/>
    <x v="5"/>
    <s v="Copersucar S.A."/>
    <x v="7"/>
    <x v="6"/>
    <x v="0"/>
    <x v="7"/>
    <n v="51038199"/>
  </r>
  <r>
    <x v="0"/>
    <x v="6"/>
    <s v="BIOX Canada Limited"/>
    <x v="8"/>
    <x v="7"/>
    <x v="1"/>
    <x v="8"/>
    <n v="16642847"/>
  </r>
  <r>
    <x v="0"/>
    <x v="7"/>
    <s v="Raízen Energia S/A – Serra"/>
    <x v="9"/>
    <x v="6"/>
    <x v="0"/>
    <x v="9"/>
    <m/>
  </r>
  <r>
    <x v="0"/>
    <x v="8"/>
    <s v="Consolidated Biofuels Ltd."/>
    <x v="10"/>
    <x v="7"/>
    <x v="1"/>
    <x v="10"/>
    <n v="489175"/>
  </r>
  <r>
    <x v="0"/>
    <x v="9"/>
    <s v="Sinclair Wyoming Refining Company"/>
    <x v="11"/>
    <x v="8"/>
    <x v="2"/>
    <x v="11"/>
    <n v="108983768"/>
  </r>
  <r>
    <x v="0"/>
    <x v="10"/>
    <s v="Heron Lake BioEnergy"/>
    <x v="12"/>
    <x v="2"/>
    <x v="0"/>
    <x v="12"/>
    <m/>
  </r>
  <r>
    <x v="0"/>
    <x v="11"/>
    <s v="Bonanza BioEnergy, LLC"/>
    <x v="13"/>
    <x v="9"/>
    <x v="0"/>
    <x v="13"/>
    <m/>
  </r>
  <r>
    <x v="0"/>
    <x v="12"/>
    <s v="Redfield Energy,"/>
    <x v="14"/>
    <x v="10"/>
    <x v="0"/>
    <x v="14"/>
    <n v="70000000"/>
  </r>
  <r>
    <x v="0"/>
    <x v="13"/>
    <s v="Bushmills Ethanol, Inc."/>
    <x v="15"/>
    <x v="2"/>
    <x v="0"/>
    <x v="15"/>
    <n v="65000000"/>
  </r>
  <r>
    <x v="0"/>
    <x v="14"/>
    <s v="ABE South Dakota, LLC"/>
    <x v="16"/>
    <x v="10"/>
    <x v="0"/>
    <x v="16"/>
    <m/>
  </r>
  <r>
    <x v="0"/>
    <x v="14"/>
    <s v="ABE South Dakota, LLC"/>
    <x v="17"/>
    <x v="10"/>
    <x v="0"/>
    <x v="17"/>
    <n v="40000000"/>
  </r>
  <r>
    <x v="0"/>
    <x v="15"/>
    <s v="Neste Singapore Pte Ltd"/>
    <x v="18"/>
    <x v="11"/>
    <x v="2"/>
    <x v="18"/>
    <n v="290756447"/>
  </r>
  <r>
    <x v="0"/>
    <x v="16"/>
    <s v="ADM Deerfield Energy"/>
    <x v="19"/>
    <x v="12"/>
    <x v="1"/>
    <x v="19"/>
    <n v="33000000"/>
  </r>
  <r>
    <x v="0"/>
    <x v="17"/>
    <s v="REG Albert Lea"/>
    <x v="20"/>
    <x v="2"/>
    <x v="1"/>
    <x v="20"/>
    <n v="30000000"/>
  </r>
  <r>
    <x v="0"/>
    <x v="18"/>
    <s v="Ag Processing, Inc."/>
    <x v="21"/>
    <x v="13"/>
    <x v="1"/>
    <x v="21"/>
    <n v="75508819"/>
  </r>
  <r>
    <x v="0"/>
    <x v="18"/>
    <s v="Ag Processing, Inc."/>
    <x v="22"/>
    <x v="12"/>
    <x v="1"/>
    <x v="22"/>
    <n v="41601085"/>
  </r>
  <r>
    <x v="0"/>
    <x v="19"/>
    <s v="FutureFuel Chemical Company"/>
    <x v="23"/>
    <x v="14"/>
    <x v="1"/>
    <x v="23"/>
    <n v="59000000"/>
  </r>
  <r>
    <x v="0"/>
    <x v="20"/>
    <s v="Poet Biorefining-Chancellor"/>
    <x v="24"/>
    <x v="10"/>
    <x v="0"/>
    <x v="24"/>
    <n v="128722000"/>
  </r>
  <r>
    <x v="0"/>
    <x v="21"/>
    <s v="LSCP, LLLP"/>
    <x v="25"/>
    <x v="13"/>
    <x v="0"/>
    <x v="25"/>
    <n v="185000000"/>
  </r>
  <r>
    <x v="0"/>
    <x v="22"/>
    <s v="Yuma Ethanol, LLC"/>
    <x v="26"/>
    <x v="15"/>
    <x v="0"/>
    <x v="26"/>
    <m/>
  </r>
  <r>
    <x v="0"/>
    <x v="23"/>
    <s v="Poet Biorefining-Big Stone"/>
    <x v="27"/>
    <x v="10"/>
    <x v="0"/>
    <x v="27"/>
    <n v="90000000"/>
  </r>
  <r>
    <x v="0"/>
    <x v="24"/>
    <s v="Western Plains Energy, LLC"/>
    <x v="28"/>
    <x v="9"/>
    <x v="0"/>
    <x v="28"/>
    <n v="54600000"/>
  </r>
  <r>
    <x v="0"/>
    <x v="25"/>
    <s v="Trenton Agri Products LLC"/>
    <x v="29"/>
    <x v="0"/>
    <x v="0"/>
    <x v="29"/>
    <m/>
  </r>
  <r>
    <x v="0"/>
    <x v="26"/>
    <s v="Green Plains Holdings II LLC - Lakota"/>
    <x v="30"/>
    <x v="13"/>
    <x v="0"/>
    <x v="30"/>
    <m/>
  </r>
  <r>
    <x v="0"/>
    <x v="27"/>
    <s v="Glacial Lakes-Watertown"/>
    <x v="31"/>
    <x v="10"/>
    <x v="0"/>
    <x v="31"/>
    <m/>
  </r>
  <r>
    <x v="0"/>
    <x v="27"/>
    <s v="Glacial Lakes-Watertown"/>
    <x v="32"/>
    <x v="10"/>
    <x v="0"/>
    <x v="32"/>
    <m/>
  </r>
  <r>
    <x v="0"/>
    <x v="28"/>
    <s v="Sterling Ethanol, LLC"/>
    <x v="33"/>
    <x v="15"/>
    <x v="0"/>
    <x v="33"/>
    <n v="60000000"/>
  </r>
  <r>
    <x v="0"/>
    <x v="29"/>
    <s v="Granite Falls Energy, LLC"/>
    <x v="34"/>
    <x v="2"/>
    <x v="0"/>
    <x v="34"/>
    <m/>
  </r>
  <r>
    <x v="0"/>
    <x v="30"/>
    <s v="Poet Biorefining-Coon Rapids"/>
    <x v="35"/>
    <x v="13"/>
    <x v="0"/>
    <x v="35"/>
    <n v="60000000"/>
  </r>
  <r>
    <x v="0"/>
    <x v="31"/>
    <s v="Poet Biorefining-Mitchell"/>
    <x v="36"/>
    <x v="10"/>
    <x v="0"/>
    <x v="36"/>
    <n v="81555600"/>
  </r>
  <r>
    <x v="0"/>
    <x v="32"/>
    <s v="Poet Biorefining-Hudson"/>
    <x v="37"/>
    <x v="10"/>
    <x v="0"/>
    <x v="37"/>
    <n v="70000000"/>
  </r>
  <r>
    <x v="0"/>
    <x v="33"/>
    <s v="Poet Biorefining-Emmetsburg"/>
    <x v="38"/>
    <x v="13"/>
    <x v="0"/>
    <x v="38"/>
    <m/>
  </r>
  <r>
    <x v="0"/>
    <x v="34"/>
    <s v="Poet Biorefining-Groton"/>
    <x v="39"/>
    <x v="10"/>
    <x v="0"/>
    <x v="39"/>
    <n v="65000000"/>
  </r>
  <r>
    <x v="0"/>
    <x v="35"/>
    <s v="Red Trail Energy LLC"/>
    <x v="40"/>
    <x v="16"/>
    <x v="0"/>
    <x v="40"/>
    <n v="170000000"/>
  </r>
  <r>
    <x v="0"/>
    <x v="36"/>
    <s v="Chippewa Valley Ethanol Company LLLP"/>
    <x v="41"/>
    <x v="2"/>
    <x v="0"/>
    <x v="41"/>
    <n v="53269178"/>
  </r>
  <r>
    <x v="0"/>
    <x v="37"/>
    <s v="Dakota Ethanol, LLC"/>
    <x v="42"/>
    <x v="10"/>
    <x v="0"/>
    <x v="42"/>
    <n v="60000000"/>
  </r>
  <r>
    <x v="0"/>
    <x v="38"/>
    <s v="Heartland Corn Products"/>
    <x v="43"/>
    <x v="2"/>
    <x v="0"/>
    <x v="43"/>
    <m/>
  </r>
  <r>
    <x v="0"/>
    <x v="39"/>
    <s v="E Energy Adams, LLC"/>
    <x v="44"/>
    <x v="0"/>
    <x v="0"/>
    <x v="44"/>
    <n v="84000000"/>
  </r>
  <r>
    <x v="0"/>
    <x v="40"/>
    <s v="High Plains Bioenergy"/>
    <x v="45"/>
    <x v="17"/>
    <x v="1"/>
    <x v="45"/>
    <n v="34675000"/>
  </r>
  <r>
    <x v="0"/>
    <x v="41"/>
    <s v="ADM Mexico"/>
    <x v="46"/>
    <x v="12"/>
    <x v="1"/>
    <x v="46"/>
    <n v="50000000"/>
  </r>
  <r>
    <x v="0"/>
    <x v="42"/>
    <s v="Archer Daniels Midland Company"/>
    <x v="47"/>
    <x v="0"/>
    <x v="0"/>
    <x v="47"/>
    <m/>
  </r>
  <r>
    <x v="0"/>
    <x v="42"/>
    <s v="Archer Daniels Midland Company"/>
    <x v="48"/>
    <x v="3"/>
    <x v="1"/>
    <x v="48"/>
    <n v="94500000"/>
  </r>
  <r>
    <x v="0"/>
    <x v="43"/>
    <s v="SIOUXLAND ETHANOL, LLC"/>
    <x v="49"/>
    <x v="0"/>
    <x v="0"/>
    <x v="49"/>
    <n v="82125000"/>
  </r>
  <r>
    <x v="0"/>
    <x v="44"/>
    <s v="Poet Biorefining-Corning"/>
    <x v="50"/>
    <x v="13"/>
    <x v="0"/>
    <x v="50"/>
    <n v="80000000"/>
  </r>
  <r>
    <x v="0"/>
    <x v="45"/>
    <s v="Absolute Energy, LLC"/>
    <x v="51"/>
    <x v="13"/>
    <x v="0"/>
    <x v="51"/>
    <n v="130000000"/>
  </r>
  <r>
    <x v="0"/>
    <x v="46"/>
    <s v="Green Plains Shenandoah LLC"/>
    <x v="52"/>
    <x v="13"/>
    <x v="0"/>
    <x v="52"/>
    <m/>
  </r>
  <r>
    <x v="0"/>
    <x v="47"/>
    <s v="Husker Ag LLC"/>
    <x v="53"/>
    <x v="0"/>
    <x v="0"/>
    <x v="53"/>
    <n v="109000000"/>
  </r>
  <r>
    <x v="0"/>
    <x v="48"/>
    <s v="Mid America Agri Products/Wheatland, LLC"/>
    <x v="54"/>
    <x v="0"/>
    <x v="0"/>
    <x v="54"/>
    <n v="46000000"/>
  </r>
  <r>
    <x v="0"/>
    <x v="49"/>
    <s v="Midwest Renewable Energy, LLC"/>
    <x v="55"/>
    <x v="0"/>
    <x v="0"/>
    <x v="55"/>
    <n v="26500000"/>
  </r>
  <r>
    <x v="0"/>
    <x v="50"/>
    <s v="Arkalon Ethanol"/>
    <x v="56"/>
    <x v="9"/>
    <x v="0"/>
    <x v="56"/>
    <m/>
  </r>
  <r>
    <x v="0"/>
    <x v="51"/>
    <s v="Bridgeport Ethanol, LLC"/>
    <x v="57"/>
    <x v="0"/>
    <x v="0"/>
    <x v="57"/>
    <m/>
  </r>
  <r>
    <x v="0"/>
    <x v="52"/>
    <s v="Dansuk Industrial Co., LTD."/>
    <x v="58"/>
    <x v="18"/>
    <x v="1"/>
    <x v="58"/>
    <n v="16706637"/>
  </r>
  <r>
    <x v="0"/>
    <x v="53"/>
    <s v="Milligan Biofuels Inc"/>
    <x v="59"/>
    <x v="7"/>
    <x v="1"/>
    <x v="59"/>
    <n v="5284016"/>
  </r>
  <r>
    <x v="0"/>
    <x v="54"/>
    <s v="JC Chemical Co., Ltd."/>
    <x v="60"/>
    <x v="18"/>
    <x v="1"/>
    <x v="60"/>
    <n v="33285679"/>
  </r>
  <r>
    <x v="0"/>
    <x v="55"/>
    <s v="SeQuential Pacific Biodiesel"/>
    <x v="61"/>
    <x v="3"/>
    <x v="1"/>
    <x v="61"/>
    <n v="10000000"/>
  </r>
  <r>
    <x v="0"/>
    <x v="56"/>
    <s v="REG Mason City"/>
    <x v="62"/>
    <x v="13"/>
    <x v="1"/>
    <x v="62"/>
    <n v="30000000"/>
  </r>
  <r>
    <x v="0"/>
    <x v="57"/>
    <s v="ADM Agri Industries"/>
    <x v="63"/>
    <x v="7"/>
    <x v="1"/>
    <x v="63"/>
    <m/>
  </r>
  <r>
    <x v="0"/>
    <x v="58"/>
    <s v="Guardian Energy Hankinson"/>
    <x v="64"/>
    <x v="16"/>
    <x v="0"/>
    <x v="64"/>
    <m/>
  </r>
  <r>
    <x v="0"/>
    <x v="59"/>
    <s v="REG Geismar, LLC"/>
    <x v="65"/>
    <x v="19"/>
    <x v="2"/>
    <x v="65"/>
    <n v="75000000"/>
  </r>
  <r>
    <x v="0"/>
    <x v="60"/>
    <s v="WM Renewable Energy, LLC"/>
    <x v="66"/>
    <x v="20"/>
    <x v="3"/>
    <x v="66"/>
    <n v="9306082"/>
  </r>
  <r>
    <x v="0"/>
    <x v="60"/>
    <s v="WM Renewable Energy, LLC"/>
    <x v="67"/>
    <x v="21"/>
    <x v="3"/>
    <x v="67"/>
    <n v="7817109"/>
  </r>
  <r>
    <x v="0"/>
    <x v="61"/>
    <s v="Duonix Beatrice"/>
    <x v="68"/>
    <x v="0"/>
    <x v="1"/>
    <x v="68"/>
    <n v="62500000"/>
  </r>
  <r>
    <x v="0"/>
    <x v="62"/>
    <s v="REG Grays Harbor LLC"/>
    <x v="69"/>
    <x v="1"/>
    <x v="1"/>
    <x v="69"/>
    <n v="100000000"/>
  </r>
  <r>
    <x v="0"/>
    <x v="63"/>
    <s v="HPB St Joe Biodiesel, LLC"/>
    <x v="70"/>
    <x v="12"/>
    <x v="1"/>
    <x v="70"/>
    <n v="30000000"/>
  </r>
  <r>
    <x v="0"/>
    <x v="64"/>
    <s v="Global Alternative Fuels LLC"/>
    <x v="71"/>
    <x v="22"/>
    <x v="1"/>
    <x v="71"/>
    <n v="15000000"/>
  </r>
  <r>
    <x v="1"/>
    <x v="0"/>
    <s v="Green Plains Ord LLC"/>
    <x v="0"/>
    <x v="0"/>
    <x v="0"/>
    <x v="0"/>
    <n v="65000000"/>
  </r>
  <r>
    <x v="1"/>
    <x v="1"/>
    <s v="General Biodiesel Seattle"/>
    <x v="1"/>
    <x v="1"/>
    <x v="1"/>
    <x v="1"/>
    <n v="5000000"/>
  </r>
  <r>
    <x v="1"/>
    <x v="2"/>
    <s v="Green Plains Central City"/>
    <x v="2"/>
    <x v="0"/>
    <x v="0"/>
    <x v="2"/>
    <n v="116000000"/>
  </r>
  <r>
    <x v="1"/>
    <x v="3"/>
    <s v="Guardian Energy Janesville"/>
    <x v="3"/>
    <x v="2"/>
    <x v="0"/>
    <x v="3"/>
    <n v="149000000"/>
  </r>
  <r>
    <x v="1"/>
    <x v="65"/>
    <s v="REG Newton, LLC"/>
    <x v="72"/>
    <x v="13"/>
    <x v="1"/>
    <x v="72"/>
    <n v="30000000"/>
  </r>
  <r>
    <x v="1"/>
    <x v="4"/>
    <s v="Pacific Ethanol Columbia LLC"/>
    <x v="4"/>
    <x v="3"/>
    <x v="0"/>
    <x v="73"/>
    <n v="43045800"/>
  </r>
  <r>
    <x v="1"/>
    <x v="4"/>
    <s v="Pacific Ethanol Magic Valley LLC"/>
    <x v="5"/>
    <x v="4"/>
    <x v="0"/>
    <x v="5"/>
    <n v="75330150"/>
  </r>
  <r>
    <x v="1"/>
    <x v="4"/>
    <s v="Pacific Ethanol Stockton"/>
    <x v="6"/>
    <x v="5"/>
    <x v="0"/>
    <x v="6"/>
    <n v="60000000"/>
  </r>
  <r>
    <x v="1"/>
    <x v="5"/>
    <s v="Açucareira Quatá S.A."/>
    <x v="73"/>
    <x v="6"/>
    <x v="0"/>
    <x v="7"/>
    <n v="51038199"/>
  </r>
  <r>
    <x v="1"/>
    <x v="6"/>
    <s v="BIOX Canada Limited"/>
    <x v="8"/>
    <x v="7"/>
    <x v="1"/>
    <x v="8"/>
    <n v="16642847"/>
  </r>
  <r>
    <x v="1"/>
    <x v="7"/>
    <s v="Raízen Energia S/A - Costa Pinto"/>
    <x v="74"/>
    <x v="6"/>
    <x v="0"/>
    <x v="9"/>
    <n v="21662108"/>
  </r>
  <r>
    <x v="1"/>
    <x v="8"/>
    <s v="Consolidated Biofuels Ltd."/>
    <x v="10"/>
    <x v="7"/>
    <x v="1"/>
    <x v="10"/>
    <n v="489175"/>
  </r>
  <r>
    <x v="1"/>
    <x v="9"/>
    <s v="Sinclair Wyoming Refining Company"/>
    <x v="11"/>
    <x v="8"/>
    <x v="2"/>
    <x v="74"/>
    <n v="108983768"/>
  </r>
  <r>
    <x v="1"/>
    <x v="10"/>
    <s v="Heron Lake BioEnergy"/>
    <x v="12"/>
    <x v="2"/>
    <x v="0"/>
    <x v="12"/>
    <n v="59000000"/>
  </r>
  <r>
    <x v="1"/>
    <x v="11"/>
    <s v="Bonanza BioEnergy, LLC"/>
    <x v="13"/>
    <x v="9"/>
    <x v="0"/>
    <x v="13"/>
    <n v="55000000"/>
  </r>
  <r>
    <x v="1"/>
    <x v="66"/>
    <s v="Siouxland Energy Cooperative"/>
    <x v="75"/>
    <x v="13"/>
    <x v="0"/>
    <x v="75"/>
    <n v="70000000"/>
  </r>
  <r>
    <x v="1"/>
    <x v="12"/>
    <s v="Redfield Energy, LLC"/>
    <x v="14"/>
    <x v="10"/>
    <x v="0"/>
    <x v="76"/>
    <n v="70000000"/>
  </r>
  <r>
    <x v="1"/>
    <x v="13"/>
    <s v="BUSHMILLS ETHANOL, INC."/>
    <x v="15"/>
    <x v="2"/>
    <x v="0"/>
    <x v="77"/>
    <n v="65000000"/>
  </r>
  <r>
    <x v="1"/>
    <x v="14"/>
    <s v="ABE South Dakota, LLC"/>
    <x v="16"/>
    <x v="10"/>
    <x v="0"/>
    <x v="16"/>
    <n v="55300000"/>
  </r>
  <r>
    <x v="1"/>
    <x v="14"/>
    <s v="ABE South Dakota, LLC (Huron)"/>
    <x v="17"/>
    <x v="10"/>
    <x v="0"/>
    <x v="17"/>
    <n v="40000000"/>
  </r>
  <r>
    <x v="1"/>
    <x v="15"/>
    <s v="Neste Singapore"/>
    <x v="18"/>
    <x v="11"/>
    <x v="2"/>
    <x v="78"/>
    <n v="290756447"/>
  </r>
  <r>
    <x v="1"/>
    <x v="16"/>
    <s v="ADM Deerfield"/>
    <x v="19"/>
    <x v="12"/>
    <x v="1"/>
    <x v="19"/>
    <n v="33000000"/>
  </r>
  <r>
    <x v="1"/>
    <x v="17"/>
    <s v="REG Albert Lea"/>
    <x v="20"/>
    <x v="2"/>
    <x v="1"/>
    <x v="79"/>
    <n v="30000000"/>
  </r>
  <r>
    <x v="1"/>
    <x v="67"/>
    <s v="Cherry Point Refinery"/>
    <x v="76"/>
    <x v="1"/>
    <x v="2"/>
    <x v="80"/>
    <n v="42438039"/>
  </r>
  <r>
    <x v="1"/>
    <x v="18"/>
    <s v="Ag Processing, Inc - Sgt. Bluff"/>
    <x v="21"/>
    <x v="13"/>
    <x v="1"/>
    <x v="21"/>
    <n v="75508819"/>
  </r>
  <r>
    <x v="1"/>
    <x v="18"/>
    <s v="Ag Processing, Inc. - St. Joseph"/>
    <x v="22"/>
    <x v="12"/>
    <x v="1"/>
    <x v="22"/>
    <n v="41601085"/>
  </r>
  <r>
    <x v="1"/>
    <x v="19"/>
    <s v="FutureFuel Chemical Company"/>
    <x v="23"/>
    <x v="14"/>
    <x v="1"/>
    <x v="23"/>
    <n v="59000000"/>
  </r>
  <r>
    <x v="1"/>
    <x v="20"/>
    <s v="Poet Biorefining-Chancellor"/>
    <x v="24"/>
    <x v="10"/>
    <x v="0"/>
    <x v="81"/>
    <n v="128722000"/>
  </r>
  <r>
    <x v="1"/>
    <x v="21"/>
    <s v="LSCP, LLLP"/>
    <x v="25"/>
    <x v="13"/>
    <x v="0"/>
    <x v="25"/>
    <n v="185000000"/>
  </r>
  <r>
    <x v="1"/>
    <x v="22"/>
    <s v="Yuma Ethanol"/>
    <x v="26"/>
    <x v="15"/>
    <x v="0"/>
    <x v="26"/>
    <n v="40000000"/>
  </r>
  <r>
    <x v="1"/>
    <x v="23"/>
    <s v="POET Biorefining - Big Stone"/>
    <x v="27"/>
    <x v="10"/>
    <x v="0"/>
    <x v="27"/>
    <n v="90000000"/>
  </r>
  <r>
    <x v="1"/>
    <x v="24"/>
    <s v="Western Plains Energy, LLC"/>
    <x v="28"/>
    <x v="9"/>
    <x v="0"/>
    <x v="28"/>
    <n v="54600000"/>
  </r>
  <r>
    <x v="1"/>
    <x v="25"/>
    <s v="Trenton Agri Products LLC"/>
    <x v="29"/>
    <x v="0"/>
    <x v="0"/>
    <x v="29"/>
    <n v="55000000"/>
  </r>
  <r>
    <x v="1"/>
    <x v="27"/>
    <s v="Glacial Lakes-Aberdeen Energy (Mina)"/>
    <x v="31"/>
    <x v="10"/>
    <x v="0"/>
    <x v="31"/>
    <n v="100000000"/>
  </r>
  <r>
    <x v="1"/>
    <x v="27"/>
    <s v="Glacial Lakes-Watertown"/>
    <x v="32"/>
    <x v="10"/>
    <x v="0"/>
    <x v="32"/>
    <n v="100000000"/>
  </r>
  <r>
    <x v="1"/>
    <x v="28"/>
    <s v="Sterling Ethanol, LLC"/>
    <x v="33"/>
    <x v="15"/>
    <x v="0"/>
    <x v="33"/>
    <n v="60000000"/>
  </r>
  <r>
    <x v="1"/>
    <x v="29"/>
    <s v="Granite Falls Energy, LLC"/>
    <x v="34"/>
    <x v="2"/>
    <x v="0"/>
    <x v="34"/>
    <n v="70000000"/>
  </r>
  <r>
    <x v="1"/>
    <x v="30"/>
    <s v="POET Biorefining - Coon Rapids"/>
    <x v="35"/>
    <x v="13"/>
    <x v="0"/>
    <x v="35"/>
    <n v="60000000"/>
  </r>
  <r>
    <x v="1"/>
    <x v="31"/>
    <s v="Poet Biorefining-Mitchell"/>
    <x v="36"/>
    <x v="10"/>
    <x v="0"/>
    <x v="82"/>
    <n v="81555600"/>
  </r>
  <r>
    <x v="1"/>
    <x v="32"/>
    <s v="POET Biorefining - Hudson"/>
    <x v="37"/>
    <x v="10"/>
    <x v="0"/>
    <x v="37"/>
    <n v="70000000"/>
  </r>
  <r>
    <x v="1"/>
    <x v="33"/>
    <s v="POET Biorefining - Emmetsburg"/>
    <x v="38"/>
    <x v="13"/>
    <x v="0"/>
    <x v="38"/>
    <n v="55000000"/>
  </r>
  <r>
    <x v="1"/>
    <x v="34"/>
    <s v="Poet Biorefining Groton"/>
    <x v="77"/>
    <x v="10"/>
    <x v="0"/>
    <x v="83"/>
    <n v="65000000"/>
  </r>
  <r>
    <x v="1"/>
    <x v="35"/>
    <s v="Red Trail Energy LLC"/>
    <x v="40"/>
    <x v="16"/>
    <x v="0"/>
    <x v="84"/>
    <n v="69949425"/>
  </r>
  <r>
    <x v="1"/>
    <x v="36"/>
    <s v="CVEC"/>
    <x v="41"/>
    <x v="2"/>
    <x v="0"/>
    <x v="85"/>
    <n v="53269178"/>
  </r>
  <r>
    <x v="1"/>
    <x v="68"/>
    <s v="KAAPA Ethanol Ravenna LLC"/>
    <x v="78"/>
    <x v="0"/>
    <x v="0"/>
    <x v="86"/>
    <n v="130000000"/>
  </r>
  <r>
    <x v="1"/>
    <x v="37"/>
    <s v="Dakota Ethanol"/>
    <x v="42"/>
    <x v="10"/>
    <x v="0"/>
    <x v="87"/>
    <n v="60000000"/>
  </r>
  <r>
    <x v="1"/>
    <x v="38"/>
    <s v="Heartland Corn Products"/>
    <x v="43"/>
    <x v="2"/>
    <x v="0"/>
    <x v="43"/>
    <n v="100000000"/>
  </r>
  <r>
    <x v="1"/>
    <x v="39"/>
    <s v="E Energy Adams"/>
    <x v="44"/>
    <x v="0"/>
    <x v="0"/>
    <x v="44"/>
    <n v="84000000"/>
  </r>
  <r>
    <x v="1"/>
    <x v="40"/>
    <s v="High Plains Bioenergy"/>
    <x v="45"/>
    <x v="17"/>
    <x v="1"/>
    <x v="88"/>
    <n v="34675000"/>
  </r>
  <r>
    <x v="1"/>
    <x v="41"/>
    <s v="MID AMERICA BIOFUELS"/>
    <x v="46"/>
    <x v="12"/>
    <x v="1"/>
    <x v="46"/>
    <n v="50000000"/>
  </r>
  <r>
    <x v="1"/>
    <x v="42"/>
    <s v="Archer Daniels Midland"/>
    <x v="48"/>
    <x v="3"/>
    <x v="1"/>
    <x v="48"/>
    <n v="94500000"/>
  </r>
  <r>
    <x v="1"/>
    <x v="42"/>
    <s v="Archer Daniels Midland Company - CLM Dry"/>
    <x v="47"/>
    <x v="0"/>
    <x v="0"/>
    <x v="47"/>
    <n v="300000000"/>
  </r>
  <r>
    <x v="1"/>
    <x v="43"/>
    <s v="Siouxland Ethanol"/>
    <x v="49"/>
    <x v="0"/>
    <x v="0"/>
    <x v="49"/>
    <n v="82125000"/>
  </r>
  <r>
    <x v="1"/>
    <x v="44"/>
    <s v="POET Biorefining - Corning"/>
    <x v="50"/>
    <x v="13"/>
    <x v="0"/>
    <x v="50"/>
    <n v="80000000"/>
  </r>
  <r>
    <x v="1"/>
    <x v="45"/>
    <s v="Absolute Energy, LLC"/>
    <x v="51"/>
    <x v="13"/>
    <x v="0"/>
    <x v="51"/>
    <n v="130000000"/>
  </r>
  <r>
    <x v="1"/>
    <x v="46"/>
    <s v="Green Plains Shenandoah LLC"/>
    <x v="52"/>
    <x v="13"/>
    <x v="0"/>
    <x v="52"/>
    <n v="82000000"/>
  </r>
  <r>
    <x v="1"/>
    <x v="47"/>
    <s v="Husker Ag, LLC"/>
    <x v="53"/>
    <x v="0"/>
    <x v="0"/>
    <x v="53"/>
    <n v="109000000"/>
  </r>
  <r>
    <x v="1"/>
    <x v="48"/>
    <s v="Mid America Agri Products/Wheatland, LLC"/>
    <x v="54"/>
    <x v="0"/>
    <x v="0"/>
    <x v="54"/>
    <n v="46000000"/>
  </r>
  <r>
    <x v="1"/>
    <x v="49"/>
    <s v="Midwest Renewable Energy"/>
    <x v="55"/>
    <x v="0"/>
    <x v="0"/>
    <x v="55"/>
    <n v="26500000"/>
  </r>
  <r>
    <x v="1"/>
    <x v="50"/>
    <s v="Arkalon Ethanol"/>
    <x v="56"/>
    <x v="9"/>
    <x v="0"/>
    <x v="56"/>
    <n v="110000000"/>
  </r>
  <r>
    <x v="1"/>
    <x v="69"/>
    <s v="Paseo Cargill Energy"/>
    <x v="79"/>
    <x v="12"/>
    <x v="1"/>
    <x v="89"/>
    <n v="69350000"/>
  </r>
  <r>
    <x v="1"/>
    <x v="51"/>
    <s v="Bridgeport Ethanol"/>
    <x v="57"/>
    <x v="0"/>
    <x v="0"/>
    <x v="57"/>
    <n v="50000000"/>
  </r>
  <r>
    <x v="1"/>
    <x v="52"/>
    <s v="Dansuk Industrial Ltd- Siwha"/>
    <x v="58"/>
    <x v="18"/>
    <x v="1"/>
    <x v="58"/>
    <n v="16706637"/>
  </r>
  <r>
    <x v="1"/>
    <x v="52"/>
    <s v="PyeongTaek2"/>
    <x v="80"/>
    <x v="18"/>
    <x v="1"/>
    <x v="90"/>
    <n v="5000000"/>
  </r>
  <r>
    <x v="1"/>
    <x v="53"/>
    <s v="Milligan Biofuels Inc"/>
    <x v="59"/>
    <x v="7"/>
    <x v="1"/>
    <x v="59"/>
    <n v="5284016"/>
  </r>
  <r>
    <x v="1"/>
    <x v="54"/>
    <s v="JC CHEMICAL CO., LTD."/>
    <x v="81"/>
    <x v="18"/>
    <x v="1"/>
    <x v="60"/>
    <n v="33285679"/>
  </r>
  <r>
    <x v="1"/>
    <x v="55"/>
    <s v="SeQuential"/>
    <x v="61"/>
    <x v="3"/>
    <x v="1"/>
    <x v="61"/>
    <n v="10000000"/>
  </r>
  <r>
    <x v="1"/>
    <x v="56"/>
    <s v="REG Mason City, LLC"/>
    <x v="62"/>
    <x v="13"/>
    <x v="1"/>
    <x v="91"/>
    <n v="30000000"/>
  </r>
  <r>
    <x v="1"/>
    <x v="57"/>
    <s v="ADM Agri Industries"/>
    <x v="63"/>
    <x v="7"/>
    <x v="1"/>
    <x v="63"/>
    <n v="70000000"/>
  </r>
  <r>
    <x v="1"/>
    <x v="58"/>
    <s v="Hankinson Renewable Energy, LLC"/>
    <x v="64"/>
    <x v="16"/>
    <x v="0"/>
    <x v="64"/>
    <n v="145000000"/>
  </r>
  <r>
    <x v="1"/>
    <x v="59"/>
    <s v="REG Geismar, LLC"/>
    <x v="65"/>
    <x v="19"/>
    <x v="2"/>
    <x v="92"/>
    <n v="75000000"/>
  </r>
  <r>
    <x v="1"/>
    <x v="70"/>
    <s v="RING-NECK ENERGY &amp; FEED, LLC"/>
    <x v="82"/>
    <x v="10"/>
    <x v="0"/>
    <x v="93"/>
    <n v="105000000"/>
  </r>
  <r>
    <x v="1"/>
    <x v="60"/>
    <s v="Outer Loop High Btu Gas Plant"/>
    <x v="66"/>
    <x v="20"/>
    <x v="3"/>
    <x v="94"/>
    <n v="9306082"/>
  </r>
  <r>
    <x v="1"/>
    <x v="60"/>
    <s v="WM Renewable Energy of Ohio - American"/>
    <x v="67"/>
    <x v="21"/>
    <x v="3"/>
    <x v="67"/>
    <n v="7817109"/>
  </r>
  <r>
    <x v="1"/>
    <x v="61"/>
    <s v="Beatrice"/>
    <x v="68"/>
    <x v="0"/>
    <x v="1"/>
    <x v="68"/>
    <n v="62500000"/>
  </r>
  <r>
    <x v="1"/>
    <x v="62"/>
    <s v="REG Grays Harbor, LLC"/>
    <x v="69"/>
    <x v="1"/>
    <x v="1"/>
    <x v="95"/>
    <n v="100000000"/>
  </r>
  <r>
    <x v="1"/>
    <x v="63"/>
    <s v="HPB St Joe Biodiesel LLC"/>
    <x v="70"/>
    <x v="12"/>
    <x v="1"/>
    <x v="96"/>
    <n v="30000000"/>
  </r>
  <r>
    <x v="1"/>
    <x v="63"/>
    <s v="HPB St Joe Biodiesel LLC"/>
    <x v="22"/>
    <x v="12"/>
    <x v="1"/>
    <x v="96"/>
    <n v="30000000"/>
  </r>
  <r>
    <x v="1"/>
    <x v="71"/>
    <s v="Meadow Branch"/>
    <x v="83"/>
    <x v="23"/>
    <x v="3"/>
    <x v="97"/>
    <n v="8600000"/>
  </r>
  <r>
    <x v="1"/>
    <x v="64"/>
    <s v="Global Alternative Fuels LLC/Rio Valley Biofuels"/>
    <x v="71"/>
    <x v="22"/>
    <x v="1"/>
    <x v="71"/>
    <n v="15000000"/>
  </r>
  <r>
    <x v="2"/>
    <x v="65"/>
    <s v="REG Newton, LLC"/>
    <x v="72"/>
    <x v="13"/>
    <x v="1"/>
    <x v="98"/>
    <n v="55300000"/>
  </r>
  <r>
    <x v="2"/>
    <x v="72"/>
    <s v="Cargill Biodiesel"/>
    <x v="84"/>
    <x v="13"/>
    <x v="1"/>
    <x v="99"/>
    <n v="69350000"/>
  </r>
  <r>
    <x v="2"/>
    <x v="4"/>
    <s v="Pacific Ethanol Holding Co LLC"/>
    <x v="4"/>
    <x v="3"/>
    <x v="0"/>
    <x v="100"/>
    <n v="185000000"/>
  </r>
  <r>
    <x v="2"/>
    <x v="8"/>
    <s v="Consolidated Biofuels Ltd."/>
    <x v="10"/>
    <x v="7"/>
    <x v="1"/>
    <x v="101"/>
    <n v="51038199"/>
  </r>
  <r>
    <x v="2"/>
    <x v="66"/>
    <s v="Siouxland Energy Cooperative"/>
    <x v="75"/>
    <x v="13"/>
    <x v="0"/>
    <x v="102"/>
    <n v="290756447"/>
  </r>
  <r>
    <x v="2"/>
    <x v="12"/>
    <s v="Redfield Energy,"/>
    <x v="14"/>
    <x v="10"/>
    <x v="0"/>
    <x v="103"/>
    <n v="290756447"/>
  </r>
  <r>
    <x v="2"/>
    <x v="13"/>
    <s v="Bushmills Ethanol, Inc."/>
    <x v="15"/>
    <x v="2"/>
    <x v="0"/>
    <x v="104"/>
    <n v="1178801445"/>
  </r>
  <r>
    <x v="2"/>
    <x v="17"/>
    <s v="REG Albert Lea"/>
    <x v="20"/>
    <x v="2"/>
    <x v="1"/>
    <x v="105"/>
    <n v="124083333.33333333"/>
  </r>
  <r>
    <x v="2"/>
    <x v="19"/>
    <s v="FutureFuel Chemical Company"/>
    <x v="23"/>
    <x v="14"/>
    <x v="1"/>
    <x v="106"/>
    <n v="110000000"/>
  </r>
  <r>
    <x v="2"/>
    <x v="20"/>
    <s v="Poet Biorefining-Chancellor"/>
    <x v="24"/>
    <x v="10"/>
    <x v="0"/>
    <x v="107"/>
    <n v="80000000"/>
  </r>
  <r>
    <x v="2"/>
    <x v="22"/>
    <s v="Yuma Ethanol, LLC"/>
    <x v="26"/>
    <x v="15"/>
    <x v="0"/>
    <x v="108"/>
    <n v="65000000"/>
  </r>
  <r>
    <x v="2"/>
    <x v="25"/>
    <s v="Trenton Agri Products LLC"/>
    <x v="29"/>
    <x v="0"/>
    <x v="0"/>
    <x v="109"/>
    <n v="81555600"/>
  </r>
  <r>
    <x v="2"/>
    <x v="27"/>
    <s v="Glacial Lakes Corn Processors"/>
    <x v="17"/>
    <x v="10"/>
    <x v="0"/>
    <x v="110"/>
    <n v="40000000"/>
  </r>
  <r>
    <x v="2"/>
    <x v="27"/>
    <s v="Glacial Lakes Corn Processors"/>
    <x v="31"/>
    <x v="10"/>
    <x v="0"/>
    <x v="111"/>
    <n v="81555600"/>
  </r>
  <r>
    <x v="2"/>
    <x v="28"/>
    <s v="Sterling Ethanol, LLC"/>
    <x v="33"/>
    <x v="15"/>
    <x v="0"/>
    <x v="112"/>
    <n v="5000000"/>
  </r>
  <r>
    <x v="2"/>
    <x v="32"/>
    <s v="Poet Biorefining-Hudson"/>
    <x v="37"/>
    <x v="10"/>
    <x v="0"/>
    <x v="113"/>
    <n v="30000000"/>
  </r>
  <r>
    <x v="2"/>
    <x v="35"/>
    <s v="Red Trail Energy LLC"/>
    <x v="40"/>
    <x v="16"/>
    <x v="0"/>
    <x v="84"/>
    <n v="75000000"/>
  </r>
  <r>
    <x v="2"/>
    <x v="36"/>
    <s v="Chippewa Valley Ethanol Company LLLP"/>
    <x v="41"/>
    <x v="2"/>
    <x v="0"/>
    <x v="85"/>
    <n v="75000000"/>
  </r>
  <r>
    <x v="2"/>
    <x v="68"/>
    <s v="KAAPA Ethanol Holdings, LLC"/>
    <x v="78"/>
    <x v="0"/>
    <x v="0"/>
    <x v="86"/>
    <n v="75000000"/>
  </r>
  <r>
    <x v="2"/>
    <x v="37"/>
    <s v="Dakota Ethanol, LLC"/>
    <x v="42"/>
    <x v="10"/>
    <x v="0"/>
    <x v="114"/>
    <n v="30000000"/>
  </r>
  <r>
    <x v="2"/>
    <x v="39"/>
    <s v="E Energy Adams, LLC"/>
    <x v="44"/>
    <x v="0"/>
    <x v="0"/>
    <x v="115"/>
    <n v="30000000"/>
  </r>
  <r>
    <x v="2"/>
    <x v="43"/>
    <s v="SIOUXLAND ETHANOL, LLC"/>
    <x v="49"/>
    <x v="0"/>
    <x v="0"/>
    <x v="116"/>
    <n v="30000000"/>
  </r>
  <r>
    <x v="2"/>
    <x v="47"/>
    <s v="Husker Ag LLC"/>
    <x v="53"/>
    <x v="0"/>
    <x v="0"/>
    <x v="117"/>
    <n v="108983768"/>
  </r>
  <r>
    <x v="2"/>
    <x v="48"/>
    <s v="Mid America Agri Products/Wheatland, LLC"/>
    <x v="54"/>
    <x v="0"/>
    <x v="0"/>
    <x v="118"/>
    <n v="82125000"/>
  </r>
  <r>
    <x v="2"/>
    <x v="73"/>
    <s v="U.S. Venture, Inc."/>
    <x v="85"/>
    <x v="22"/>
    <x v="4"/>
    <x v="119"/>
    <n v="1229728258"/>
  </r>
  <r>
    <x v="2"/>
    <x v="73"/>
    <s v="U.S. Venture, Inc."/>
    <x v="86"/>
    <x v="0"/>
    <x v="4"/>
    <x v="120"/>
    <n v="31210800"/>
  </r>
  <r>
    <x v="2"/>
    <x v="51"/>
    <s v="Bridgeport Ethanol, LLC"/>
    <x v="57"/>
    <x v="0"/>
    <x v="0"/>
    <x v="121"/>
    <n v="82125000"/>
  </r>
  <r>
    <x v="2"/>
    <x v="55"/>
    <s v="SeQuential Pacific Biodiesel"/>
    <x v="61"/>
    <x v="3"/>
    <x v="1"/>
    <x v="122"/>
    <n v="53269178"/>
  </r>
  <r>
    <x v="2"/>
    <x v="56"/>
    <s v="REG Mason City"/>
    <x v="62"/>
    <x v="13"/>
    <x v="1"/>
    <x v="123"/>
    <n v="60000000"/>
  </r>
  <r>
    <x v="2"/>
    <x v="57"/>
    <s v="ADM AGRI-INDUSTRIES COMPANY"/>
    <x v="63"/>
    <x v="7"/>
    <x v="1"/>
    <x v="63"/>
    <n v="30000000"/>
  </r>
  <r>
    <x v="2"/>
    <x v="58"/>
    <s v="Hankinson Renewable Energy, LLC"/>
    <x v="64"/>
    <x v="16"/>
    <x v="0"/>
    <x v="124"/>
    <n v="82125000"/>
  </r>
  <r>
    <x v="2"/>
    <x v="59"/>
    <s v="REG Geismar, LLC"/>
    <x v="65"/>
    <x v="19"/>
    <x v="5"/>
    <x v="125"/>
    <n v="90000000"/>
  </r>
  <r>
    <x v="2"/>
    <x v="59"/>
    <s v="REG Geismar, LLC"/>
    <x v="65"/>
    <x v="19"/>
    <x v="2"/>
    <x v="126"/>
    <n v="90000000"/>
  </r>
  <r>
    <x v="2"/>
    <x v="70"/>
    <s v="Ring-neck Energy &amp; Feed"/>
    <x v="82"/>
    <x v="10"/>
    <x v="0"/>
    <x v="93"/>
    <n v="60000000"/>
  </r>
  <r>
    <x v="2"/>
    <x v="62"/>
    <s v="REG Grays Harbor LLC"/>
    <x v="69"/>
    <x v="1"/>
    <x v="1"/>
    <x v="95"/>
    <n v="84000000"/>
  </r>
  <r>
    <x v="2"/>
    <x v="74"/>
    <s v="EBI Energie inc."/>
    <x v="87"/>
    <x v="7"/>
    <x v="4"/>
    <x v="127"/>
    <n v="1730000000"/>
  </r>
  <r>
    <x v="2"/>
    <x v="71"/>
    <s v="Trillium Transportation Fuels, LLC"/>
    <x v="83"/>
    <x v="23"/>
    <x v="4"/>
    <x v="128"/>
    <n v="40000000"/>
  </r>
  <r>
    <x v="2"/>
    <x v="75"/>
    <s v="River Birch Landfill"/>
    <x v="88"/>
    <x v="19"/>
    <x v="4"/>
    <x v="119"/>
    <n v="525600000"/>
  </r>
  <r>
    <x v="2"/>
    <x v="76"/>
    <s v="3Degrees Group, Inc."/>
    <x v="89"/>
    <x v="5"/>
    <x v="6"/>
    <x v="129"/>
    <m/>
  </r>
  <r>
    <x v="3"/>
    <x v="77"/>
    <s v="River Birch Landfill"/>
    <x v="88"/>
    <x v="19"/>
    <x v="4"/>
    <x v="119"/>
    <n v="525600000"/>
  </r>
  <r>
    <x v="3"/>
    <x v="78"/>
    <s v="3Degrees Group, Inc."/>
    <x v="90"/>
    <x v="5"/>
    <x v="6"/>
    <x v="129"/>
    <m/>
  </r>
  <r>
    <x v="3"/>
    <x v="79"/>
    <s v="Dakota Prairie Refining"/>
    <x v="91"/>
    <x v="16"/>
    <x v="2"/>
    <x v="130"/>
    <n v="184000000"/>
  </r>
  <r>
    <x v="3"/>
    <x v="65"/>
    <s v="REG Newton, LLC"/>
    <x v="72"/>
    <x v="13"/>
    <x v="1"/>
    <x v="98"/>
    <n v="30000000"/>
  </r>
  <r>
    <x v="3"/>
    <x v="80"/>
    <s v="REG Seneca"/>
    <x v="92"/>
    <x v="24"/>
    <x v="1"/>
    <x v="131"/>
    <n v="60000000"/>
  </r>
  <r>
    <x v="3"/>
    <x v="72"/>
    <s v="Cargill Biodiesel"/>
    <x v="84"/>
    <x v="13"/>
    <x v="1"/>
    <x v="99"/>
    <n v="69350000"/>
  </r>
  <r>
    <x v="3"/>
    <x v="4"/>
    <s v="Pacific Ethanol Holding Co LLC"/>
    <x v="4"/>
    <x v="3"/>
    <x v="0"/>
    <x v="100"/>
    <n v="43045800"/>
  </r>
  <r>
    <x v="3"/>
    <x v="8"/>
    <s v="Consolidated Biofuels Ltd."/>
    <x v="10"/>
    <x v="7"/>
    <x v="1"/>
    <x v="101"/>
    <n v="489175"/>
  </r>
  <r>
    <x v="3"/>
    <x v="9"/>
    <s v="Sinclair Wyoming Refining Company"/>
    <x v="11"/>
    <x v="8"/>
    <x v="2"/>
    <x v="74"/>
    <n v="108983768"/>
  </r>
  <r>
    <x v="3"/>
    <x v="66"/>
    <s v="Siouxland Energy Cooperative"/>
    <x v="75"/>
    <x v="13"/>
    <x v="0"/>
    <x v="102"/>
    <n v="70000000"/>
  </r>
  <r>
    <x v="3"/>
    <x v="12"/>
    <s v="Redfield Energy,"/>
    <x v="14"/>
    <x v="10"/>
    <x v="0"/>
    <x v="103"/>
    <n v="70000000"/>
  </r>
  <r>
    <x v="3"/>
    <x v="13"/>
    <s v="Bushmills Ethanol, Inc."/>
    <x v="15"/>
    <x v="2"/>
    <x v="0"/>
    <x v="104"/>
    <n v="65000000"/>
  </r>
  <r>
    <x v="3"/>
    <x v="15"/>
    <s v="Neste Singapore Pte Ltd"/>
    <x v="18"/>
    <x v="11"/>
    <x v="2"/>
    <x v="132"/>
    <n v="290756447"/>
  </r>
  <r>
    <x v="3"/>
    <x v="17"/>
    <s v="REG Albert Lea"/>
    <x v="20"/>
    <x v="2"/>
    <x v="1"/>
    <x v="105"/>
    <n v="30000000"/>
  </r>
  <r>
    <x v="3"/>
    <x v="67"/>
    <s v="BP Products North America Inc."/>
    <x v="76"/>
    <x v="1"/>
    <x v="2"/>
    <x v="133"/>
    <n v="42438039"/>
  </r>
  <r>
    <x v="3"/>
    <x v="81"/>
    <s v="Phillips 66"/>
    <x v="93"/>
    <x v="5"/>
    <x v="2"/>
    <x v="133"/>
    <n v="180000000"/>
  </r>
  <r>
    <x v="3"/>
    <x v="19"/>
    <s v="FutureFuel Chemical Company"/>
    <x v="23"/>
    <x v="14"/>
    <x v="1"/>
    <x v="106"/>
    <n v="59000000"/>
  </r>
  <r>
    <x v="3"/>
    <x v="20"/>
    <s v="Poet Biorefining-Chancellor"/>
    <x v="24"/>
    <x v="10"/>
    <x v="0"/>
    <x v="107"/>
    <n v="128722000"/>
  </r>
  <r>
    <x v="3"/>
    <x v="22"/>
    <s v="Yuma Ethanol, LLC"/>
    <x v="26"/>
    <x v="15"/>
    <x v="0"/>
    <x v="108"/>
    <n v="60000000"/>
  </r>
  <r>
    <x v="3"/>
    <x v="25"/>
    <s v="Trenton Agri Products LLC"/>
    <x v="29"/>
    <x v="0"/>
    <x v="0"/>
    <x v="109"/>
    <n v="55000000"/>
  </r>
  <r>
    <x v="3"/>
    <x v="27"/>
    <s v="Glacial Lakes Corn Processors"/>
    <x v="16"/>
    <x v="10"/>
    <x v="0"/>
    <x v="134"/>
    <n v="61000000"/>
  </r>
  <r>
    <x v="3"/>
    <x v="27"/>
    <s v="Glacial Lakes Corn Processors"/>
    <x v="17"/>
    <x v="10"/>
    <x v="0"/>
    <x v="110"/>
    <n v="40000000"/>
  </r>
  <r>
    <x v="3"/>
    <x v="27"/>
    <s v="Glacial Lakes Corn Processors"/>
    <x v="31"/>
    <x v="10"/>
    <x v="0"/>
    <x v="111"/>
    <n v="162000000"/>
  </r>
  <r>
    <x v="3"/>
    <x v="28"/>
    <s v="Sterling Ethanol, LLC"/>
    <x v="33"/>
    <x v="15"/>
    <x v="0"/>
    <x v="112"/>
    <n v="60000000"/>
  </r>
  <r>
    <x v="3"/>
    <x v="32"/>
    <s v="Poet Biorefining-Hudson"/>
    <x v="37"/>
    <x v="10"/>
    <x v="0"/>
    <x v="113"/>
    <n v="70000000"/>
  </r>
  <r>
    <x v="3"/>
    <x v="35"/>
    <s v="Red Trail Energy LLC"/>
    <x v="40"/>
    <x v="16"/>
    <x v="0"/>
    <x v="84"/>
    <n v="69949425"/>
  </r>
  <r>
    <x v="3"/>
    <x v="36"/>
    <s v="Chippewa Valley Ethanol Company LLLP"/>
    <x v="41"/>
    <x v="2"/>
    <x v="0"/>
    <x v="85"/>
    <n v="53269178"/>
  </r>
  <r>
    <x v="3"/>
    <x v="68"/>
    <s v="KAAPA Ethanol Holdings, LLC"/>
    <x v="78"/>
    <x v="0"/>
    <x v="0"/>
    <x v="86"/>
    <n v="130000000"/>
  </r>
  <r>
    <x v="3"/>
    <x v="37"/>
    <s v="Dakota Ethanol, LLC"/>
    <x v="42"/>
    <x v="10"/>
    <x v="0"/>
    <x v="114"/>
    <n v="60000000"/>
  </r>
  <r>
    <x v="3"/>
    <x v="39"/>
    <s v="E Energy Adams, LLC"/>
    <x v="44"/>
    <x v="0"/>
    <x v="0"/>
    <x v="115"/>
    <n v="84000000"/>
  </r>
  <r>
    <x v="3"/>
    <x v="43"/>
    <s v="SIOUXLAND ETHANOL, LLC"/>
    <x v="49"/>
    <x v="0"/>
    <x v="0"/>
    <x v="116"/>
    <n v="82125000"/>
  </r>
  <r>
    <x v="3"/>
    <x v="47"/>
    <s v="Husker Ag LLC"/>
    <x v="53"/>
    <x v="0"/>
    <x v="0"/>
    <x v="117"/>
    <n v="109000000"/>
  </r>
  <r>
    <x v="3"/>
    <x v="48"/>
    <s v="Mid America Agri Products/Wheatland, LLC"/>
    <x v="54"/>
    <x v="0"/>
    <x v="0"/>
    <x v="118"/>
    <n v="46000000"/>
  </r>
  <r>
    <x v="3"/>
    <x v="73"/>
    <s v="U.S. Venture, Inc."/>
    <x v="94"/>
    <x v="25"/>
    <x v="4"/>
    <x v="135"/>
    <n v="816730"/>
  </r>
  <r>
    <x v="3"/>
    <x v="73"/>
    <s v="U.S. Venture, Inc."/>
    <x v="85"/>
    <x v="22"/>
    <x v="4"/>
    <x v="119"/>
    <n v="619749837"/>
  </r>
  <r>
    <x v="3"/>
    <x v="73"/>
    <s v="U.S. Venture, Inc."/>
    <x v="95"/>
    <x v="1"/>
    <x v="4"/>
    <x v="135"/>
    <n v="1515785"/>
  </r>
  <r>
    <x v="3"/>
    <x v="73"/>
    <s v="U.S. Venture, Inc."/>
    <x v="86"/>
    <x v="0"/>
    <x v="4"/>
    <x v="120"/>
    <n v="31210800"/>
  </r>
  <r>
    <x v="3"/>
    <x v="51"/>
    <s v="Bridgeport Ethanol, LLC"/>
    <x v="57"/>
    <x v="0"/>
    <x v="0"/>
    <x v="121"/>
    <n v="49000000"/>
  </r>
  <r>
    <x v="3"/>
    <x v="55"/>
    <s v="SeQuential Pacific Biodiesel"/>
    <x v="61"/>
    <x v="3"/>
    <x v="1"/>
    <x v="136"/>
    <n v="17000000"/>
  </r>
  <r>
    <x v="3"/>
    <x v="56"/>
    <s v="REG Mason City"/>
    <x v="62"/>
    <x v="13"/>
    <x v="1"/>
    <x v="123"/>
    <n v="30000000"/>
  </r>
  <r>
    <x v="3"/>
    <x v="57"/>
    <s v="ADM AGRI-INDUSTRIES COMPANY"/>
    <x v="63"/>
    <x v="7"/>
    <x v="1"/>
    <x v="137"/>
    <n v="69960000"/>
  </r>
  <r>
    <x v="3"/>
    <x v="58"/>
    <s v="Hankinson Renewable Energy, LLC"/>
    <x v="64"/>
    <x v="16"/>
    <x v="0"/>
    <x v="124"/>
    <n v="145000000"/>
  </r>
  <r>
    <x v="3"/>
    <x v="59"/>
    <s v="REG Geismar, LLC"/>
    <x v="65"/>
    <x v="19"/>
    <x v="5"/>
    <x v="125"/>
    <n v="75000000"/>
  </r>
  <r>
    <x v="3"/>
    <x v="59"/>
    <s v="REG Geismar, LLC"/>
    <x v="65"/>
    <x v="19"/>
    <x v="2"/>
    <x v="126"/>
    <n v="75000000"/>
  </r>
  <r>
    <x v="3"/>
    <x v="59"/>
    <s v="REG Geismar, LLC"/>
    <x v="65"/>
    <x v="19"/>
    <x v="7"/>
    <x v="131"/>
    <n v="75000000"/>
  </r>
  <r>
    <x v="3"/>
    <x v="70"/>
    <s v="Ring-neck Energy &amp; Feed"/>
    <x v="82"/>
    <x v="10"/>
    <x v="0"/>
    <x v="93"/>
    <n v="105000000"/>
  </r>
  <r>
    <x v="3"/>
    <x v="62"/>
    <s v="REG Grays Harbor LLC"/>
    <x v="69"/>
    <x v="1"/>
    <x v="1"/>
    <x v="95"/>
    <n v="100000000"/>
  </r>
  <r>
    <x v="3"/>
    <x v="74"/>
    <s v="EBI Energie inc."/>
    <x v="87"/>
    <x v="7"/>
    <x v="4"/>
    <x v="127"/>
    <n v="1730000000"/>
  </r>
  <r>
    <x v="3"/>
    <x v="71"/>
    <s v="Trillium Transportation Fuels, LLC"/>
    <x v="83"/>
    <x v="23"/>
    <x v="4"/>
    <x v="128"/>
    <n v="138500000"/>
  </r>
  <r>
    <x v="3"/>
    <x v="82"/>
    <s v="TRUSTAR ENERGY LLC"/>
    <x v="96"/>
    <x v="26"/>
    <x v="4"/>
    <x v="138"/>
    <n v="2147483"/>
  </r>
  <r>
    <x v="4"/>
    <x v="79"/>
    <s v="Dakota Prairie Refining"/>
    <x v="91"/>
    <x v="16"/>
    <x v="2"/>
    <x v="139"/>
    <n v="184000000"/>
  </r>
  <r>
    <x v="4"/>
    <x v="83"/>
    <s v="Canary Biofuels Inc."/>
    <x v="97"/>
    <x v="7"/>
    <x v="1"/>
    <x v="140"/>
    <n v="20000000"/>
  </r>
  <r>
    <x v="4"/>
    <x v="83"/>
    <s v="Canary Biofuels Inc."/>
    <x v="97"/>
    <x v="7"/>
    <x v="2"/>
    <x v="133"/>
    <n v="20000000"/>
  </r>
  <r>
    <x v="4"/>
    <x v="65"/>
    <s v="REG Newton, LLC"/>
    <x v="72"/>
    <x v="13"/>
    <x v="1"/>
    <x v="98"/>
    <n v="55300000"/>
  </r>
  <r>
    <x v="4"/>
    <x v="80"/>
    <s v="REG Seneca"/>
    <x v="92"/>
    <x v="24"/>
    <x v="1"/>
    <x v="141"/>
    <n v="60000000"/>
  </r>
  <r>
    <x v="4"/>
    <x v="72"/>
    <s v="Cargill Biodiesel"/>
    <x v="84"/>
    <x v="13"/>
    <x v="1"/>
    <x v="142"/>
    <n v="69350000"/>
  </r>
  <r>
    <x v="4"/>
    <x v="4"/>
    <s v="Pacific Ethanol Holding Co LLC"/>
    <x v="4"/>
    <x v="3"/>
    <x v="0"/>
    <x v="100"/>
    <n v="40000000"/>
  </r>
  <r>
    <x v="4"/>
    <x v="84"/>
    <s v="REG DANVILLE, LLC"/>
    <x v="98"/>
    <x v="24"/>
    <x v="1"/>
    <x v="143"/>
    <n v="60000000"/>
  </r>
  <r>
    <x v="4"/>
    <x v="85"/>
    <s v="Thumb BioEnergy, LLC"/>
    <x v="99"/>
    <x v="27"/>
    <x v="1"/>
    <x v="144"/>
    <n v="750000"/>
  </r>
  <r>
    <x v="4"/>
    <x v="8"/>
    <s v="Consolidated Biofuels Ltd."/>
    <x v="10"/>
    <x v="7"/>
    <x v="1"/>
    <x v="101"/>
    <n v="51038199"/>
  </r>
  <r>
    <x v="4"/>
    <x v="9"/>
    <s v="Sinclair Wyoming Refining Company"/>
    <x v="11"/>
    <x v="8"/>
    <x v="2"/>
    <x v="74"/>
    <n v="70000000"/>
  </r>
  <r>
    <x v="4"/>
    <x v="66"/>
    <s v="Siouxland Energy Cooperative"/>
    <x v="75"/>
    <x v="13"/>
    <x v="0"/>
    <x v="145"/>
    <n v="290756447"/>
  </r>
  <r>
    <x v="4"/>
    <x v="12"/>
    <s v="Redfield Energy,"/>
    <x v="14"/>
    <x v="10"/>
    <x v="0"/>
    <x v="103"/>
    <n v="70000000"/>
  </r>
  <r>
    <x v="4"/>
    <x v="13"/>
    <s v="Bushmills Ethanol, Inc."/>
    <x v="15"/>
    <x v="2"/>
    <x v="0"/>
    <x v="104"/>
    <n v="65000000"/>
  </r>
  <r>
    <x v="4"/>
    <x v="15"/>
    <s v="Neste Singapore Pte Ltd"/>
    <x v="18"/>
    <x v="11"/>
    <x v="2"/>
    <x v="146"/>
    <n v="116000000"/>
  </r>
  <r>
    <x v="4"/>
    <x v="17"/>
    <s v="REG Albert Lea"/>
    <x v="20"/>
    <x v="2"/>
    <x v="1"/>
    <x v="147"/>
    <n v="130000000"/>
  </r>
  <r>
    <x v="4"/>
    <x v="67"/>
    <s v="BP Products North America Inc."/>
    <x v="76"/>
    <x v="1"/>
    <x v="2"/>
    <x v="148"/>
    <n v="109000000"/>
  </r>
  <r>
    <x v="4"/>
    <x v="81"/>
    <s v="Phillips 66"/>
    <x v="100"/>
    <x v="5"/>
    <x v="2"/>
    <x v="149"/>
    <n v="180000000"/>
  </r>
  <r>
    <x v="4"/>
    <x v="18"/>
    <s v="Ag Processing, Inc."/>
    <x v="21"/>
    <x v="13"/>
    <x v="1"/>
    <x v="150"/>
    <n v="75508819"/>
  </r>
  <r>
    <x v="4"/>
    <x v="18"/>
    <s v="Ag Processing, Inc."/>
    <x v="22"/>
    <x v="12"/>
    <x v="1"/>
    <x v="151"/>
    <n v="41601085"/>
  </r>
  <r>
    <x v="4"/>
    <x v="19"/>
    <s v="FutureFuel Chemical Company"/>
    <x v="23"/>
    <x v="14"/>
    <x v="1"/>
    <x v="106"/>
    <n v="110000000"/>
  </r>
  <r>
    <x v="4"/>
    <x v="20"/>
    <s v="Poet Biorefining-Chancellor"/>
    <x v="24"/>
    <x v="10"/>
    <x v="0"/>
    <x v="152"/>
    <n v="80000000"/>
  </r>
  <r>
    <x v="4"/>
    <x v="22"/>
    <s v="Yuma Ethanol, LLC"/>
    <x v="26"/>
    <x v="15"/>
    <x v="0"/>
    <x v="108"/>
    <n v="65000000"/>
  </r>
  <r>
    <x v="4"/>
    <x v="23"/>
    <s v="Poet Biorefining-Big Stone"/>
    <x v="27"/>
    <x v="10"/>
    <x v="0"/>
    <x v="153"/>
    <n v="90000000"/>
  </r>
  <r>
    <x v="4"/>
    <x v="25"/>
    <s v="Trenton Agri Products LLC"/>
    <x v="29"/>
    <x v="0"/>
    <x v="0"/>
    <x v="154"/>
    <n v="81555600"/>
  </r>
  <r>
    <x v="4"/>
    <x v="27"/>
    <s v="Glacial Lakes Corn Processors"/>
    <x v="100"/>
    <x v="10"/>
    <x v="0"/>
    <x v="155"/>
    <n v="47000000"/>
  </r>
  <r>
    <x v="4"/>
    <x v="27"/>
    <s v="Glacial Lakes Corn Processors"/>
    <x v="31"/>
    <x v="10"/>
    <x v="0"/>
    <x v="111"/>
    <n v="81555600"/>
  </r>
  <r>
    <x v="4"/>
    <x v="27"/>
    <s v="Glacial Lakes Corn Processors"/>
    <x v="32"/>
    <x v="10"/>
    <x v="0"/>
    <x v="156"/>
    <n v="148000000"/>
  </r>
  <r>
    <x v="4"/>
    <x v="28"/>
    <s v="Sterling Ethanol, LLC"/>
    <x v="33"/>
    <x v="15"/>
    <x v="0"/>
    <x v="112"/>
    <n v="5000000"/>
  </r>
  <r>
    <x v="4"/>
    <x v="30"/>
    <s v="Poet Biorefining-Coon Rapids"/>
    <x v="35"/>
    <x v="13"/>
    <x v="0"/>
    <x v="157"/>
    <n v="60000000"/>
  </r>
  <r>
    <x v="4"/>
    <x v="86"/>
    <s v="Poet Biorefining-Jewell"/>
    <x v="101"/>
    <x v="13"/>
    <x v="0"/>
    <x v="158"/>
    <n v="90000000"/>
  </r>
  <r>
    <x v="4"/>
    <x v="31"/>
    <s v="Poet Biorefining-Mitchell"/>
    <x v="36"/>
    <x v="10"/>
    <x v="0"/>
    <x v="159"/>
    <n v="81555600"/>
  </r>
  <r>
    <x v="4"/>
    <x v="32"/>
    <s v="Poet Biorefining-Hudson"/>
    <x v="37"/>
    <x v="10"/>
    <x v="0"/>
    <x v="160"/>
    <n v="30000000"/>
  </r>
  <r>
    <x v="4"/>
    <x v="34"/>
    <s v="Poet Biorefining-Groton"/>
    <x v="77"/>
    <x v="10"/>
    <x v="0"/>
    <x v="161"/>
    <n v="65000000"/>
  </r>
  <r>
    <x v="4"/>
    <x v="35"/>
    <s v="Red Trail Energy LLC"/>
    <x v="40"/>
    <x v="10"/>
    <x v="0"/>
    <x v="162"/>
    <n v="75000000"/>
  </r>
  <r>
    <x v="4"/>
    <x v="36"/>
    <s v="Chippewa Valley Ethanol Company LLLP"/>
    <x v="41"/>
    <x v="2"/>
    <x v="0"/>
    <x v="85"/>
    <n v="75000000"/>
  </r>
  <r>
    <x v="4"/>
    <x v="68"/>
    <s v="KAAPA Ethanol Holdings, LLC"/>
    <x v="78"/>
    <x v="0"/>
    <x v="0"/>
    <x v="163"/>
    <n v="75000000"/>
  </r>
  <r>
    <x v="4"/>
    <x v="37"/>
    <s v="Dakota Ethanol, LLC"/>
    <x v="42"/>
    <x v="10"/>
    <x v="0"/>
    <x v="114"/>
    <n v="30000000"/>
  </r>
  <r>
    <x v="4"/>
    <x v="39"/>
    <s v="E Energy Adams, LLC"/>
    <x v="44"/>
    <x v="0"/>
    <x v="0"/>
    <x v="164"/>
    <n v="30000000"/>
  </r>
  <r>
    <x v="4"/>
    <x v="42"/>
    <s v="Archer Daniels Midland Company"/>
    <x v="48"/>
    <x v="16"/>
    <x v="1"/>
    <x v="165"/>
    <n v="94500000"/>
  </r>
  <r>
    <x v="4"/>
    <x v="43"/>
    <s v="SIOUXLAND ETHANOL, LLC"/>
    <x v="49"/>
    <x v="0"/>
    <x v="0"/>
    <x v="166"/>
    <n v="105000000"/>
  </r>
  <r>
    <x v="4"/>
    <x v="44"/>
    <s v="Poet Biorefining-Corning"/>
    <x v="50"/>
    <x v="13"/>
    <x v="0"/>
    <x v="167"/>
    <n v="80000000"/>
  </r>
  <r>
    <x v="4"/>
    <x v="47"/>
    <s v="Husker Ag LLC"/>
    <x v="53"/>
    <x v="0"/>
    <x v="0"/>
    <x v="168"/>
    <n v="108983768"/>
  </r>
  <r>
    <x v="4"/>
    <x v="48"/>
    <s v="Mid America Agri Products/Wheatland, LLC"/>
    <x v="54"/>
    <x v="0"/>
    <x v="0"/>
    <x v="169"/>
    <n v="82125000"/>
  </r>
  <r>
    <x v="4"/>
    <x v="73"/>
    <s v="U.S. Venture, Inc."/>
    <x v="100"/>
    <x v="22"/>
    <x v="4"/>
    <x v="170"/>
    <n v="1229728258"/>
  </r>
  <r>
    <x v="4"/>
    <x v="73"/>
    <s v="U.S. Venture, Inc."/>
    <x v="102"/>
    <x v="25"/>
    <x v="4"/>
    <x v="135"/>
    <n v="2680560"/>
  </r>
  <r>
    <x v="4"/>
    <x v="51"/>
    <s v="Bridgeport Ethanol, LLC"/>
    <x v="57"/>
    <x v="0"/>
    <x v="0"/>
    <x v="121"/>
    <n v="82125000"/>
  </r>
  <r>
    <x v="4"/>
    <x v="52"/>
    <s v="Dansuk Industrial Co., LTD."/>
    <x v="80"/>
    <x v="18"/>
    <x v="1"/>
    <x v="90"/>
    <n v="5000000"/>
  </r>
  <r>
    <x v="4"/>
    <x v="87"/>
    <s v="DELEK RENEWABLES, LLC"/>
    <x v="103"/>
    <x v="22"/>
    <x v="1"/>
    <x v="171"/>
    <n v="13000000"/>
  </r>
  <r>
    <x v="4"/>
    <x v="87"/>
    <s v="DELEK RENEWABLES, LLC"/>
    <x v="104"/>
    <x v="14"/>
    <x v="1"/>
    <x v="172"/>
    <n v="14000000"/>
  </r>
  <r>
    <x v="4"/>
    <x v="87"/>
    <s v="DELEK RENEWABLES, LLC"/>
    <x v="105"/>
    <x v="28"/>
    <x v="1"/>
    <x v="173"/>
    <n v="12000000"/>
  </r>
  <r>
    <x v="4"/>
    <x v="55"/>
    <s v="SeQuential Pacific Biodiesel"/>
    <x v="61"/>
    <x v="3"/>
    <x v="1"/>
    <x v="122"/>
    <n v="17000000"/>
  </r>
  <r>
    <x v="4"/>
    <x v="56"/>
    <s v="REG Mason City"/>
    <x v="62"/>
    <x v="13"/>
    <x v="1"/>
    <x v="123"/>
    <n v="60000000"/>
  </r>
  <r>
    <x v="4"/>
    <x v="57"/>
    <s v="ADM AGRI-INDUSTRIES COMPANY"/>
    <x v="63"/>
    <x v="7"/>
    <x v="1"/>
    <x v="174"/>
    <n v="30000000"/>
  </r>
  <r>
    <x v="4"/>
    <x v="58"/>
    <s v="Hankinson Renewable Energy, LLC"/>
    <x v="64"/>
    <x v="16"/>
    <x v="0"/>
    <x v="124"/>
    <n v="82125000"/>
  </r>
  <r>
    <x v="4"/>
    <x v="88"/>
    <s v="SENECA ENERGY II, LLC"/>
    <x v="106"/>
    <x v="29"/>
    <x v="4"/>
    <x v="175"/>
    <n v="1523953577"/>
  </r>
  <r>
    <x v="4"/>
    <x v="59"/>
    <s v="REG Geismar, LLC"/>
    <x v="65"/>
    <x v="19"/>
    <x v="2"/>
    <x v="126"/>
    <n v="34675000"/>
  </r>
  <r>
    <x v="4"/>
    <x v="59"/>
    <s v="REG Geismar, LLC"/>
    <x v="65"/>
    <x v="19"/>
    <x v="7"/>
    <x v="176"/>
    <n v="34675000"/>
  </r>
  <r>
    <x v="4"/>
    <x v="70"/>
    <s v="Ring-neck Energy &amp; Feed"/>
    <x v="82"/>
    <x v="10"/>
    <x v="0"/>
    <x v="93"/>
    <n v="60000000"/>
  </r>
  <r>
    <x v="4"/>
    <x v="60"/>
    <s v="WM Renewable Energy, LLC"/>
    <x v="66"/>
    <x v="20"/>
    <x v="4"/>
    <x v="177"/>
    <n v="1178801445"/>
  </r>
  <r>
    <x v="4"/>
    <x v="62"/>
    <s v="REG Grays Harbor LLC"/>
    <x v="69"/>
    <x v="1"/>
    <x v="1"/>
    <x v="95"/>
    <n v="84000000"/>
  </r>
  <r>
    <x v="4"/>
    <x v="74"/>
    <s v="EBI Energie inc."/>
    <x v="87"/>
    <x v="7"/>
    <x v="4"/>
    <x v="127"/>
    <n v="1730000000"/>
  </r>
  <r>
    <x v="4"/>
    <x v="71"/>
    <s v="Trillium Transportation Fuels, LLC"/>
    <x v="83"/>
    <x v="23"/>
    <x v="4"/>
    <x v="128"/>
    <n v="1385"/>
  </r>
  <r>
    <x v="4"/>
    <x v="82"/>
    <s v="Opal Fuels Station Services LLC"/>
    <x v="107"/>
    <x v="26"/>
    <x v="4"/>
    <x v="178"/>
    <n v="2102000000"/>
  </r>
  <r>
    <x v="4"/>
    <x v="82"/>
    <s v="Opal Fuels Station Services LLC"/>
    <x v="96"/>
    <x v="26"/>
    <x v="4"/>
    <x v="179"/>
    <n v="2147483647"/>
  </r>
  <r>
    <x v="4"/>
    <x v="75"/>
    <s v="River Birch Landfill"/>
    <x v="88"/>
    <x v="19"/>
    <x v="4"/>
    <x v="119"/>
    <n v="525600000"/>
  </r>
  <r>
    <x v="4"/>
    <x v="89"/>
    <s v="CleanFuture, Inc."/>
    <x v="108"/>
    <x v="3"/>
    <x v="8"/>
    <x v="180"/>
    <n v="850000"/>
  </r>
  <r>
    <x v="4"/>
    <x v="89"/>
    <s v="CleanFuture, Inc."/>
    <x v="109"/>
    <x v="1"/>
    <x v="8"/>
    <x v="181"/>
    <n v="3500000"/>
  </r>
  <r>
    <x v="4"/>
    <x v="89"/>
    <s v="CleanFuture, Inc."/>
    <x v="110"/>
    <x v="5"/>
    <x v="8"/>
    <x v="182"/>
    <n v="450000"/>
  </r>
  <r>
    <x v="4"/>
    <x v="89"/>
    <s v="Degrees3 Transportation Solutions, LLC"/>
    <x v="111"/>
    <x v="4"/>
    <x v="8"/>
    <x v="183"/>
    <n v="17520000"/>
  </r>
  <r>
    <x v="4"/>
    <x v="89"/>
    <s v="Degrees3 Transportation Solutions, LLC"/>
    <x v="112"/>
    <x v="30"/>
    <x v="8"/>
    <x v="184"/>
    <n v="14016000"/>
  </r>
  <r>
    <x v="4"/>
    <x v="76"/>
    <s v="3Degrees Group, Inc."/>
    <x v="89"/>
    <x v="5"/>
    <x v="6"/>
    <x v="185"/>
    <m/>
  </r>
  <r>
    <x v="5"/>
    <x v="79"/>
    <s v="Marathon Dickinson Refinery"/>
    <x v="91"/>
    <x v="16"/>
    <x v="2"/>
    <x v="186"/>
    <n v="184000000"/>
  </r>
  <r>
    <x v="5"/>
    <x v="79"/>
    <s v="Marathon Dickinson Refinery"/>
    <x v="91"/>
    <x v="16"/>
    <x v="9"/>
    <x v="187"/>
    <n v="184000000"/>
  </r>
  <r>
    <x v="5"/>
    <x v="90"/>
    <s v="Wyoming Renewable Diesel Company LLC."/>
    <x v="11"/>
    <x v="8"/>
    <x v="2"/>
    <x v="188"/>
    <n v="153300000"/>
  </r>
  <r>
    <x v="5"/>
    <x v="83"/>
    <s v="Canary 1"/>
    <x v="97"/>
    <x v="7"/>
    <x v="1"/>
    <x v="189"/>
    <n v="20000000"/>
  </r>
  <r>
    <x v="5"/>
    <x v="91"/>
    <s v="GREAT FALLS FACILITY"/>
    <x v="113"/>
    <x v="31"/>
    <x v="2"/>
    <x v="140"/>
    <n v="137970000"/>
  </r>
  <r>
    <x v="5"/>
    <x v="91"/>
    <s v="GREAT FALLS FACILITY"/>
    <x v="113"/>
    <x v="31"/>
    <x v="9"/>
    <x v="140"/>
    <n v="15330000"/>
  </r>
  <r>
    <x v="5"/>
    <x v="65"/>
    <s v="REG Newton, LLC"/>
    <x v="72"/>
    <x v="13"/>
    <x v="1"/>
    <x v="98"/>
    <n v="55300000"/>
  </r>
  <r>
    <x v="5"/>
    <x v="80"/>
    <s v="REG Seneca, LLC"/>
    <x v="92"/>
    <x v="24"/>
    <x v="1"/>
    <x v="190"/>
    <n v="60000000"/>
  </r>
  <r>
    <x v="5"/>
    <x v="72"/>
    <s v="Cargill Biodiesel"/>
    <x v="84"/>
    <x v="13"/>
    <x v="1"/>
    <x v="191"/>
    <n v="69350000"/>
  </r>
  <r>
    <x v="5"/>
    <x v="72"/>
    <s v="Paseo Cargill Energy"/>
    <x v="79"/>
    <x v="12"/>
    <x v="1"/>
    <x v="89"/>
    <n v="69350000"/>
  </r>
  <r>
    <x v="5"/>
    <x v="4"/>
    <s v="Pacific Ethanol Columbia LLC"/>
    <x v="4"/>
    <x v="3"/>
    <x v="0"/>
    <x v="100"/>
    <n v="40000000"/>
  </r>
  <r>
    <x v="5"/>
    <x v="84"/>
    <s v="REG DANVILLE LLC"/>
    <x v="98"/>
    <x v="24"/>
    <x v="1"/>
    <x v="192"/>
    <n v="60000000"/>
  </r>
  <r>
    <x v="5"/>
    <x v="85"/>
    <s v="Thumb BioEnergy"/>
    <x v="99"/>
    <x v="27"/>
    <x v="1"/>
    <x v="144"/>
    <n v="750000"/>
  </r>
  <r>
    <x v="5"/>
    <x v="8"/>
    <s v="Consolidated Biofuels Ltd."/>
    <x v="10"/>
    <x v="7"/>
    <x v="1"/>
    <x v="101"/>
    <n v="51038199"/>
  </r>
  <r>
    <x v="5"/>
    <x v="66"/>
    <s v="Siouxland Energy Cooperative"/>
    <x v="75"/>
    <x v="13"/>
    <x v="0"/>
    <x v="193"/>
    <n v="290756447"/>
  </r>
  <r>
    <x v="5"/>
    <x v="12"/>
    <s v="Redfield Energy, LLC"/>
    <x v="14"/>
    <x v="10"/>
    <x v="0"/>
    <x v="194"/>
    <n v="70000000"/>
  </r>
  <r>
    <x v="5"/>
    <x v="13"/>
    <s v="BUSHMILLS ETHANOL, INC."/>
    <x v="15"/>
    <x v="2"/>
    <x v="0"/>
    <x v="195"/>
    <n v="65000000"/>
  </r>
  <r>
    <x v="5"/>
    <x v="15"/>
    <s v="Neste Singapore"/>
    <x v="18"/>
    <x v="11"/>
    <x v="2"/>
    <x v="146"/>
    <n v="116000000"/>
  </r>
  <r>
    <x v="5"/>
    <x v="17"/>
    <s v="REG Albert Lea"/>
    <x v="20"/>
    <x v="2"/>
    <x v="1"/>
    <x v="196"/>
    <n v="130000000"/>
  </r>
  <r>
    <x v="5"/>
    <x v="67"/>
    <s v="Cherry Point Refinery"/>
    <x v="76"/>
    <x v="1"/>
    <x v="2"/>
    <x v="197"/>
    <n v="34675000"/>
  </r>
  <r>
    <x v="5"/>
    <x v="81"/>
    <s v="Phillips 66 Rodeo"/>
    <x v="93"/>
    <x v="5"/>
    <x v="2"/>
    <x v="198"/>
    <n v="180000000"/>
  </r>
  <r>
    <x v="5"/>
    <x v="18"/>
    <s v="Ag Processing, Inc - Sgt. Bluff"/>
    <x v="21"/>
    <x v="13"/>
    <x v="1"/>
    <x v="150"/>
    <n v="75508819"/>
  </r>
  <r>
    <x v="5"/>
    <x v="18"/>
    <s v="Ag Processing, Inc. - St. Joseph"/>
    <x v="22"/>
    <x v="12"/>
    <x v="1"/>
    <x v="151"/>
    <n v="41601085"/>
  </r>
  <r>
    <x v="5"/>
    <x v="19"/>
    <s v="FutureFuel Chemical Company"/>
    <x v="23"/>
    <x v="14"/>
    <x v="1"/>
    <x v="106"/>
    <n v="110000000"/>
  </r>
  <r>
    <x v="5"/>
    <x v="20"/>
    <s v="Poet Biorefining-Chancellor"/>
    <x v="24"/>
    <x v="10"/>
    <x v="0"/>
    <x v="199"/>
    <n v="80000000"/>
  </r>
  <r>
    <x v="5"/>
    <x v="22"/>
    <s v="Yuma Ethanol, LLC"/>
    <x v="26"/>
    <x v="15"/>
    <x v="0"/>
    <x v="200"/>
    <n v="65000000"/>
  </r>
  <r>
    <x v="5"/>
    <x v="23"/>
    <s v="POET Biorefining - Big Stone"/>
    <x v="27"/>
    <x v="10"/>
    <x v="0"/>
    <x v="201"/>
    <n v="90000000"/>
  </r>
  <r>
    <x v="5"/>
    <x v="24"/>
    <s v="Western Plains Energy, LLC"/>
    <x v="28"/>
    <x v="9"/>
    <x v="0"/>
    <x v="202"/>
    <n v="54600000"/>
  </r>
  <r>
    <x v="5"/>
    <x v="25"/>
    <s v="Trenton Agri Products LLC"/>
    <x v="29"/>
    <x v="0"/>
    <x v="0"/>
    <x v="203"/>
    <n v="81555600"/>
  </r>
  <r>
    <x v="5"/>
    <x v="27"/>
    <s v="Glacial Lakes-Aberdeen Energy (Mina)"/>
    <x v="31"/>
    <x v="10"/>
    <x v="0"/>
    <x v="111"/>
    <n v="81555600"/>
  </r>
  <r>
    <x v="5"/>
    <x v="27"/>
    <s v="Glacial Lakes-Watertown"/>
    <x v="32"/>
    <x v="10"/>
    <x v="0"/>
    <x v="156"/>
    <n v="148000000"/>
  </r>
  <r>
    <x v="5"/>
    <x v="27"/>
    <s v="Huron Energy"/>
    <x v="17"/>
    <x v="10"/>
    <x v="0"/>
    <x v="204"/>
    <n v="40000000"/>
  </r>
  <r>
    <x v="5"/>
    <x v="28"/>
    <s v="Sterling Ethanol, LLC"/>
    <x v="33"/>
    <x v="15"/>
    <x v="0"/>
    <x v="205"/>
    <n v="5000000"/>
  </r>
  <r>
    <x v="5"/>
    <x v="30"/>
    <s v="POET Biorefining - Coon Rapids"/>
    <x v="35"/>
    <x v="13"/>
    <x v="0"/>
    <x v="206"/>
    <n v="60000000"/>
  </r>
  <r>
    <x v="5"/>
    <x v="86"/>
    <s v="POET BIOREFINING - JEWELL (HORIZON ETHANOL, LLC)"/>
    <x v="101"/>
    <x v="13"/>
    <x v="0"/>
    <x v="207"/>
    <n v="90000000"/>
  </r>
  <r>
    <x v="5"/>
    <x v="31"/>
    <s v="Poet Biorefining-Mitchell"/>
    <x v="36"/>
    <x v="10"/>
    <x v="0"/>
    <x v="208"/>
    <n v="81555600"/>
  </r>
  <r>
    <x v="5"/>
    <x v="32"/>
    <s v="POET Biorefining - Hudson"/>
    <x v="37"/>
    <x v="10"/>
    <x v="0"/>
    <x v="160"/>
    <n v="30000000"/>
  </r>
  <r>
    <x v="5"/>
    <x v="34"/>
    <s v="Poet Biorefining Groton"/>
    <x v="77"/>
    <x v="10"/>
    <x v="0"/>
    <x v="209"/>
    <n v="65000000"/>
  </r>
  <r>
    <x v="5"/>
    <x v="35"/>
    <s v="Red Trail Energy LLC"/>
    <x v="40"/>
    <x v="16"/>
    <x v="0"/>
    <x v="84"/>
    <n v="75000000"/>
  </r>
  <r>
    <x v="5"/>
    <x v="36"/>
    <s v="CVEC"/>
    <x v="41"/>
    <x v="2"/>
    <x v="0"/>
    <x v="85"/>
    <n v="75000000"/>
  </r>
  <r>
    <x v="5"/>
    <x v="68"/>
    <s v="KAAPA ETHANOL LLC"/>
    <x v="114"/>
    <x v="0"/>
    <x v="0"/>
    <x v="210"/>
    <n v="80000000"/>
  </r>
  <r>
    <x v="5"/>
    <x v="68"/>
    <s v="KAAPA Ethanol Ravenna LLC"/>
    <x v="78"/>
    <x v="0"/>
    <x v="0"/>
    <x v="211"/>
    <n v="75000000"/>
  </r>
  <r>
    <x v="5"/>
    <x v="37"/>
    <s v="Dakota Ethanol"/>
    <x v="42"/>
    <x v="10"/>
    <x v="0"/>
    <x v="212"/>
    <n v="30000000"/>
  </r>
  <r>
    <x v="5"/>
    <x v="92"/>
    <s v="Crimson Bakersfield Biodiesel Plant"/>
    <x v="115"/>
    <x v="5"/>
    <x v="1"/>
    <x v="213"/>
    <n v="22000000"/>
  </r>
  <r>
    <x v="5"/>
    <x v="39"/>
    <s v="E Energy Adams"/>
    <x v="44"/>
    <x v="0"/>
    <x v="0"/>
    <x v="214"/>
    <n v="30000000"/>
  </r>
  <r>
    <x v="5"/>
    <x v="40"/>
    <s v="High Plains Bioenergy"/>
    <x v="45"/>
    <x v="17"/>
    <x v="1"/>
    <x v="215"/>
    <n v="34675000"/>
  </r>
  <r>
    <x v="5"/>
    <x v="42"/>
    <s v="Archer Daniels Midland"/>
    <x v="48"/>
    <x v="3"/>
    <x v="1"/>
    <x v="165"/>
    <n v="94500000"/>
  </r>
  <r>
    <x v="5"/>
    <x v="43"/>
    <s v="Siouxland Ethanol"/>
    <x v="49"/>
    <x v="0"/>
    <x v="0"/>
    <x v="216"/>
    <n v="105000000"/>
  </r>
  <r>
    <x v="5"/>
    <x v="44"/>
    <s v="POET Biorefining - Corning"/>
    <x v="50"/>
    <x v="13"/>
    <x v="0"/>
    <x v="217"/>
    <n v="80000000"/>
  </r>
  <r>
    <x v="5"/>
    <x v="47"/>
    <s v="Husker Ag, LLC"/>
    <x v="53"/>
    <x v="0"/>
    <x v="0"/>
    <x v="218"/>
    <n v="108983768"/>
  </r>
  <r>
    <x v="5"/>
    <x v="48"/>
    <s v="Mid America Agri Products/Wheatland, LLC"/>
    <x v="54"/>
    <x v="0"/>
    <x v="0"/>
    <x v="219"/>
    <n v="82125000"/>
  </r>
  <r>
    <x v="5"/>
    <x v="73"/>
    <s v="AUGEAN RNG PROJECT"/>
    <x v="95"/>
    <x v="1"/>
    <x v="4"/>
    <x v="220"/>
    <n v="1515785"/>
  </r>
  <r>
    <x v="5"/>
    <x v="73"/>
    <s v="DEER RUN RNG PROJECT"/>
    <x v="116"/>
    <x v="25"/>
    <x v="4"/>
    <x v="221"/>
    <n v="200020"/>
  </r>
  <r>
    <x v="5"/>
    <x v="73"/>
    <s v="Renovar Arlington LTD RNG Project"/>
    <x v="85"/>
    <x v="22"/>
    <x v="4"/>
    <x v="222"/>
    <n v="1229728258"/>
  </r>
  <r>
    <x v="5"/>
    <x v="73"/>
    <s v="U.S. GAIN RNG FACILITY CLOVER HILL"/>
    <x v="94"/>
    <x v="25"/>
    <x v="4"/>
    <x v="223"/>
    <n v="816730"/>
  </r>
  <r>
    <x v="5"/>
    <x v="73"/>
    <s v="U.S. Gain RNG Facility Dallmann"/>
    <x v="117"/>
    <x v="25"/>
    <x v="4"/>
    <x v="224"/>
    <n v="747207"/>
  </r>
  <r>
    <x v="5"/>
    <x v="73"/>
    <s v="U.S. GAIN RNG FACILITY S&amp;S"/>
    <x v="118"/>
    <x v="25"/>
    <x v="4"/>
    <x v="225"/>
    <n v="833745"/>
  </r>
  <r>
    <x v="5"/>
    <x v="51"/>
    <s v="Bridgeport Ethanol, LLC"/>
    <x v="57"/>
    <x v="0"/>
    <x v="0"/>
    <x v="226"/>
    <n v="82125000"/>
  </r>
  <r>
    <x v="5"/>
    <x v="52"/>
    <s v="Dansuk Industrial Ltd- Siwha"/>
    <x v="58"/>
    <x v="18"/>
    <x v="1"/>
    <x v="227"/>
    <n v="16706637"/>
  </r>
  <r>
    <x v="5"/>
    <x v="52"/>
    <s v="PyeongTaek2"/>
    <x v="80"/>
    <x v="18"/>
    <x v="1"/>
    <x v="90"/>
    <n v="5000000"/>
  </r>
  <r>
    <x v="5"/>
    <x v="87"/>
    <s v="DELEK RENEWABLES CLEBURNE BIODIESEL PLANT"/>
    <x v="103"/>
    <x v="22"/>
    <x v="1"/>
    <x v="228"/>
    <n v="13000000"/>
  </r>
  <r>
    <x v="5"/>
    <x v="87"/>
    <s v="DELEK RENEWABLES CROSSETT BIODIESEL PLANT"/>
    <x v="104"/>
    <x v="14"/>
    <x v="1"/>
    <x v="229"/>
    <n v="14000000"/>
  </r>
  <r>
    <x v="5"/>
    <x v="87"/>
    <s v="DELEK RENEWABLES NEW ALBANY BIODIESEL PLANT"/>
    <x v="105"/>
    <x v="28"/>
    <x v="1"/>
    <x v="173"/>
    <n v="12000000"/>
  </r>
  <r>
    <x v="5"/>
    <x v="93"/>
    <s v="Diamond Green Diesel - Port Arthur"/>
    <x v="119"/>
    <x v="22"/>
    <x v="2"/>
    <x v="130"/>
    <n v="470000000"/>
  </r>
  <r>
    <x v="5"/>
    <x v="93"/>
    <s v="DIAMOND GREEN DIESEL LLC"/>
    <x v="120"/>
    <x v="19"/>
    <x v="2"/>
    <x v="230"/>
    <n v="730000000"/>
  </r>
  <r>
    <x v="5"/>
    <x v="93"/>
    <s v="DIAMOND GREEN DIESEL LLC"/>
    <x v="120"/>
    <x v="19"/>
    <x v="9"/>
    <x v="230"/>
    <n v="730000000"/>
  </r>
  <r>
    <x v="5"/>
    <x v="55"/>
    <s v="SeQuential"/>
    <x v="61"/>
    <x v="3"/>
    <x v="1"/>
    <x v="231"/>
    <n v="17000000"/>
  </r>
  <r>
    <x v="5"/>
    <x v="56"/>
    <s v="REG Mason City, LLC"/>
    <x v="62"/>
    <x v="13"/>
    <x v="1"/>
    <x v="232"/>
    <n v="60000000"/>
  </r>
  <r>
    <x v="5"/>
    <x v="57"/>
    <s v="ADM AGRI-INDUSTRIES COMPANY"/>
    <x v="63"/>
    <x v="7"/>
    <x v="1"/>
    <x v="174"/>
    <n v="30000000"/>
  </r>
  <r>
    <x v="5"/>
    <x v="58"/>
    <s v="Hankinson Renewable Energy, LLC"/>
    <x v="64"/>
    <x v="16"/>
    <x v="0"/>
    <x v="233"/>
    <n v="82125000"/>
  </r>
  <r>
    <x v="5"/>
    <x v="59"/>
    <s v="REG Geismar, LLC"/>
    <x v="65"/>
    <x v="19"/>
    <x v="2"/>
    <x v="234"/>
    <n v="34675000"/>
  </r>
  <r>
    <x v="5"/>
    <x v="59"/>
    <s v="REG Geismar, LLC"/>
    <x v="65"/>
    <x v="19"/>
    <x v="9"/>
    <x v="125"/>
    <n v="34675000"/>
  </r>
  <r>
    <x v="5"/>
    <x v="59"/>
    <s v="REG Geismar, LLC"/>
    <x v="65"/>
    <x v="19"/>
    <x v="7"/>
    <x v="125"/>
    <n v="34675000"/>
  </r>
  <r>
    <x v="5"/>
    <x v="70"/>
    <s v="RING-NECK ENERGY &amp; FEED, LLC"/>
    <x v="82"/>
    <x v="10"/>
    <x v="0"/>
    <x v="235"/>
    <n v="60000000"/>
  </r>
  <r>
    <x v="5"/>
    <x v="60"/>
    <s v="Outer Loop High Btu Gas Plant"/>
    <x v="66"/>
    <x v="20"/>
    <x v="10"/>
    <x v="236"/>
    <n v="1178801445"/>
  </r>
  <r>
    <x v="5"/>
    <x v="62"/>
    <s v="REG Grays Harbor, LLC"/>
    <x v="69"/>
    <x v="1"/>
    <x v="1"/>
    <x v="237"/>
    <n v="84000000"/>
  </r>
  <r>
    <x v="5"/>
    <x v="63"/>
    <s v="HPB St Joe Biodiesel LLC"/>
    <x v="70"/>
    <x v="12"/>
    <x v="1"/>
    <x v="238"/>
    <n v="30000000"/>
  </r>
  <r>
    <x v="5"/>
    <x v="74"/>
    <s v="SAINT-THOMAS BIOMETHANE PLANT "/>
    <x v="87"/>
    <x v="7"/>
    <x v="4"/>
    <x v="239"/>
    <n v="1730000000"/>
  </r>
  <r>
    <x v="5"/>
    <x v="82"/>
    <s v="GREENTREE LANDFILL GAS COMPANY, LLC"/>
    <x v="96"/>
    <x v="26"/>
    <x v="10"/>
    <x v="240"/>
    <n v="2147483647"/>
  </r>
  <r>
    <x v="5"/>
    <x v="82"/>
    <s v="IMPERIAL LANDFILL"/>
    <x v="107"/>
    <x v="26"/>
    <x v="10"/>
    <x v="178"/>
    <n v="2102000000"/>
  </r>
  <r>
    <x v="5"/>
    <x v="94"/>
    <s v="Imperial Western Products"/>
    <x v="121"/>
    <x v="5"/>
    <x v="1"/>
    <x v="241"/>
    <n v="12000000"/>
  </r>
  <r>
    <x v="5"/>
    <x v="95"/>
    <s v="FPE Renewables, LLC"/>
    <x v="109"/>
    <x v="1"/>
    <x v="8"/>
    <x v="242"/>
    <n v="3500000"/>
  </r>
  <r>
    <x v="5"/>
    <x v="95"/>
    <s v="Giacomini Dairy"/>
    <x v="110"/>
    <x v="5"/>
    <x v="8"/>
    <x v="243"/>
    <n v="450000"/>
  </r>
  <r>
    <x v="5"/>
    <x v="95"/>
    <s v="Oak Lea Digester LLC"/>
    <x v="108"/>
    <x v="3"/>
    <x v="8"/>
    <x v="180"/>
    <n v="850000"/>
  </r>
  <r>
    <x v="5"/>
    <x v="96"/>
    <s v="River Birch Landfill"/>
    <x v="88"/>
    <x v="19"/>
    <x v="10"/>
    <x v="244"/>
    <n v="2147483647"/>
  </r>
  <r>
    <x v="5"/>
    <x v="97"/>
    <s v="Praxair - Ontario, CA"/>
    <x v="89"/>
    <x v="5"/>
    <x v="6"/>
    <x v="185"/>
    <n v="0"/>
  </r>
  <r>
    <x v="5"/>
    <x v="98"/>
    <s v="Blue Mountain Biogas, LLC"/>
    <x v="112"/>
    <x v="30"/>
    <x v="8"/>
    <x v="245"/>
    <n v="14016000"/>
  </r>
  <r>
    <x v="5"/>
    <x v="98"/>
    <s v="Farm Power Rainier"/>
    <x v="122"/>
    <x v="1"/>
    <x v="8"/>
    <x v="246"/>
    <n v="8760000"/>
  </r>
  <r>
    <x v="5"/>
    <x v="98"/>
    <s v="Farm Power Rexville"/>
    <x v="123"/>
    <x v="1"/>
    <x v="8"/>
    <x v="247"/>
    <n v="6570000"/>
  </r>
  <r>
    <x v="5"/>
    <x v="98"/>
    <s v="New Energy One"/>
    <x v="111"/>
    <x v="4"/>
    <x v="8"/>
    <x v="183"/>
    <n v="17520000"/>
  </r>
  <r>
    <x v="6"/>
    <x v="99"/>
    <s v="Cargill Biodiesel"/>
    <x v="124"/>
    <x v="12"/>
    <x v="1"/>
    <x v="89"/>
    <n v="69350000"/>
  </r>
  <r>
    <x v="6"/>
    <x v="99"/>
    <s v="Dansuk Industrial Co., LTD."/>
    <x v="125"/>
    <x v="32"/>
    <x v="1"/>
    <x v="90"/>
    <n v="5000000"/>
  </r>
  <r>
    <x v="6"/>
    <x v="99"/>
    <s v="Hankinson Renewable Energy, LLC"/>
    <x v="126"/>
    <x v="16"/>
    <x v="0"/>
    <x v="248"/>
    <n v="145000000"/>
  </r>
  <r>
    <x v="6"/>
    <x v="99"/>
    <s v="HPB St Joe Biodiesel, LLC"/>
    <x v="127"/>
    <x v="12"/>
    <x v="1"/>
    <x v="249"/>
    <n v="30000000"/>
  </r>
  <r>
    <x v="6"/>
    <x v="79"/>
    <s v="Dakota Prairie Refining"/>
    <x v="128"/>
    <x v="16"/>
    <x v="2"/>
    <x v="250"/>
    <n v="571200"/>
  </r>
  <r>
    <x v="6"/>
    <x v="79"/>
    <s v="Neste Singapore Pte Ltd"/>
    <x v="129"/>
    <x v="11"/>
    <x v="2"/>
    <x v="146"/>
    <n v="290756447"/>
  </r>
  <r>
    <x v="6"/>
    <x v="79"/>
    <s v="Phillips 66"/>
    <x v="130"/>
    <x v="5"/>
    <x v="2"/>
    <x v="251"/>
    <n v="180000000"/>
  </r>
  <r>
    <x v="6"/>
    <x v="65"/>
    <s v="REG Seneca"/>
    <x v="131"/>
    <x v="24"/>
    <x v="1"/>
    <x v="252"/>
    <n v="60000000"/>
  </r>
  <r>
    <x v="6"/>
    <x v="65"/>
    <s v="Thumb BioEnergy, LLC"/>
    <x v="132"/>
    <x v="27"/>
    <x v="1"/>
    <x v="253"/>
    <n v="750000"/>
  </r>
  <r>
    <x v="6"/>
    <x v="80"/>
    <s v="Bridgeport Ethanol, LLC"/>
    <x v="133"/>
    <x v="0"/>
    <x v="0"/>
    <x v="254"/>
    <n v="49000000"/>
  </r>
  <r>
    <x v="6"/>
    <x v="80"/>
    <s v="Bushmills Ethanol, Inc."/>
    <x v="134"/>
    <x v="2"/>
    <x v="0"/>
    <x v="195"/>
    <n v="65000000"/>
  </r>
  <r>
    <x v="6"/>
    <x v="80"/>
    <s v="Chippewa Valley Ethanol Company LLLP"/>
    <x v="135"/>
    <x v="2"/>
    <x v="0"/>
    <x v="255"/>
    <n v="53269178"/>
  </r>
  <r>
    <x v="6"/>
    <x v="80"/>
    <s v="U.S. Venture, Inc."/>
    <x v="136"/>
    <x v="22"/>
    <x v="4"/>
    <x v="256"/>
    <n v="1229728258"/>
  </r>
  <r>
    <x v="6"/>
    <x v="80"/>
    <s v="WM Renewable Energy, LLC"/>
    <x v="137"/>
    <x v="20"/>
    <x v="4"/>
    <x v="257"/>
    <n v="1178801445"/>
  </r>
  <r>
    <x v="6"/>
    <x v="72"/>
    <s v="Dansuk Industrial Co., LTD."/>
    <x v="138"/>
    <x v="33"/>
    <x v="1"/>
    <x v="258"/>
    <n v="16706637"/>
  </r>
  <r>
    <x v="6"/>
    <x v="72"/>
    <s v="REG Albert Lea"/>
    <x v="139"/>
    <x v="2"/>
    <x v="1"/>
    <x v="259"/>
    <n v="30000000"/>
  </r>
  <r>
    <x v="6"/>
    <x v="4"/>
    <s v="Poet Biorefining-Corning"/>
    <x v="140"/>
    <x v="13"/>
    <x v="0"/>
    <x v="260"/>
    <n v="80000000"/>
  </r>
  <r>
    <x v="6"/>
    <x v="6"/>
    <s v="Cargill Biodiesel"/>
    <x v="141"/>
    <x v="13"/>
    <x v="1"/>
    <x v="261"/>
    <n v="69350000"/>
  </r>
  <r>
    <x v="6"/>
    <x v="6"/>
    <s v="Consolidated Biofuels Ltd."/>
    <x v="142"/>
    <x v="7"/>
    <x v="1"/>
    <x v="101"/>
    <n v="489175"/>
  </r>
  <r>
    <x v="6"/>
    <x v="6"/>
    <s v="Crimson Renewable Energy LP"/>
    <x v="143"/>
    <x v="5"/>
    <x v="1"/>
    <x v="262"/>
    <n v="22000000"/>
  </r>
  <r>
    <x v="6"/>
    <x v="6"/>
    <s v="Dansuk Industrial Co., LTD."/>
    <x v="138"/>
    <x v="33"/>
    <x v="1"/>
    <x v="263"/>
    <n v="16706637"/>
  </r>
  <r>
    <x v="6"/>
    <x v="85"/>
    <s v="Chippewa Valley Ethanol Company LLLP"/>
    <x v="135"/>
    <x v="2"/>
    <x v="0"/>
    <x v="264"/>
    <n v="53269178"/>
  </r>
  <r>
    <x v="6"/>
    <x v="8"/>
    <s v="DEQ Unknown"/>
    <x v="144"/>
    <x v="3"/>
    <x v="1"/>
    <x v="265"/>
    <n v="1000000"/>
  </r>
  <r>
    <x v="6"/>
    <x v="66"/>
    <s v="Western Plains Energy, LLC"/>
    <x v="145"/>
    <x v="9"/>
    <x v="0"/>
    <x v="266"/>
    <n v="54600000"/>
  </r>
  <r>
    <x v="6"/>
    <x v="12"/>
    <s v="Ring-neck Energy &amp; Feed"/>
    <x v="146"/>
    <x v="10"/>
    <x v="0"/>
    <x v="267"/>
    <n v="105000000"/>
  </r>
  <r>
    <x v="6"/>
    <x v="12"/>
    <s v="Siouxland Energy Cooperative"/>
    <x v="147"/>
    <x v="13"/>
    <x v="0"/>
    <x v="268"/>
    <n v="70000000"/>
  </r>
  <r>
    <x v="6"/>
    <x v="13"/>
    <s v="Dakota Ethanol, LLC"/>
    <x v="148"/>
    <x v="10"/>
    <x v="0"/>
    <x v="269"/>
    <n v="60000000"/>
  </r>
  <r>
    <x v="6"/>
    <x v="15"/>
    <s v="Phillips 66"/>
    <x v="130"/>
    <x v="5"/>
    <x v="2"/>
    <x v="270"/>
    <n v="180000000"/>
  </r>
  <r>
    <x v="6"/>
    <x v="15"/>
    <s v="REG Geismar, LLC"/>
    <x v="149"/>
    <x v="19"/>
    <x v="2"/>
    <x v="271"/>
    <n v="75000000"/>
  </r>
  <r>
    <x v="6"/>
    <x v="17"/>
    <s v="REG Grays Harbor LLC"/>
    <x v="150"/>
    <x v="1"/>
    <x v="1"/>
    <x v="272"/>
    <n v="100000000"/>
  </r>
  <r>
    <x v="6"/>
    <x v="17"/>
    <s v="REG Mason City"/>
    <x v="151"/>
    <x v="13"/>
    <x v="1"/>
    <x v="123"/>
    <n v="30000000"/>
  </r>
  <r>
    <x v="6"/>
    <x v="67"/>
    <s v="Dakota Prairie Refining"/>
    <x v="128"/>
    <x v="16"/>
    <x v="2"/>
    <x v="273"/>
    <n v="571200"/>
  </r>
  <r>
    <x v="6"/>
    <x v="81"/>
    <s v="REG Geismar, LLC"/>
    <x v="149"/>
    <x v="19"/>
    <x v="2"/>
    <x v="274"/>
    <n v="75000000"/>
  </r>
  <r>
    <x v="6"/>
    <x v="18"/>
    <s v="BIOX Canada Limited"/>
    <x v="152"/>
    <x v="7"/>
    <x v="1"/>
    <x v="275"/>
    <n v="16642847"/>
  </r>
  <r>
    <x v="6"/>
    <x v="19"/>
    <s v="REG Albert Lea"/>
    <x v="139"/>
    <x v="2"/>
    <x v="1"/>
    <x v="276"/>
    <n v="30000000"/>
  </r>
  <r>
    <x v="6"/>
    <x v="20"/>
    <s v="Red Trail Energy LLC"/>
    <x v="153"/>
    <x v="16"/>
    <x v="0"/>
    <x v="277"/>
    <n v="69949425"/>
  </r>
  <r>
    <x v="6"/>
    <x v="22"/>
    <s v="BP Products North America Inc."/>
    <x v="154"/>
    <x v="1"/>
    <x v="2"/>
    <x v="278"/>
    <n v="109000000"/>
  </r>
  <r>
    <x v="6"/>
    <x v="23"/>
    <s v="Poet Biorefining-Corning"/>
    <x v="140"/>
    <x v="13"/>
    <x v="0"/>
    <x v="279"/>
    <n v="80000000"/>
  </r>
  <r>
    <x v="6"/>
    <x v="23"/>
    <s v="Poet Biorefining-Hudson"/>
    <x v="155"/>
    <x v="10"/>
    <x v="0"/>
    <x v="280"/>
    <n v="70000000"/>
  </r>
  <r>
    <x v="6"/>
    <x v="24"/>
    <s v="BP Products North America Inc."/>
    <x v="154"/>
    <x v="1"/>
    <x v="2"/>
    <x v="281"/>
    <n v="109000000"/>
  </r>
  <r>
    <x v="6"/>
    <x v="25"/>
    <s v="BP Products North America Inc."/>
    <x v="154"/>
    <x v="1"/>
    <x v="2"/>
    <x v="131"/>
    <n v="109000000"/>
  </r>
  <r>
    <x v="6"/>
    <x v="25"/>
    <s v="U.S. Venture, Inc."/>
    <x v="136"/>
    <x v="22"/>
    <x v="10"/>
    <x v="282"/>
    <n v="9771416"/>
  </r>
  <r>
    <x v="6"/>
    <x v="27"/>
    <s v="Alto West, LLC."/>
    <x v="156"/>
    <x v="3"/>
    <x v="0"/>
    <x v="283"/>
    <n v="43045800"/>
  </r>
  <r>
    <x v="6"/>
    <x v="27"/>
    <s v="Hankinson Renewable Energy, LLC"/>
    <x v="126"/>
    <x v="16"/>
    <x v="0"/>
    <x v="284"/>
    <n v="145000000"/>
  </r>
  <r>
    <x v="6"/>
    <x v="27"/>
    <s v="Mid America Agri Products/Wheatland, LLC"/>
    <x v="157"/>
    <x v="0"/>
    <x v="0"/>
    <x v="285"/>
    <n v="46000000"/>
  </r>
  <r>
    <x v="6"/>
    <x v="28"/>
    <s v="U.S. Venture, Inc."/>
    <x v="136"/>
    <x v="22"/>
    <x v="10"/>
    <x v="282"/>
    <n v="9771416"/>
  </r>
  <r>
    <x v="6"/>
    <x v="30"/>
    <s v="Poet Biorefining-Groton"/>
    <x v="158"/>
    <x v="10"/>
    <x v="0"/>
    <x v="286"/>
    <n v="65000000"/>
  </r>
  <r>
    <x v="6"/>
    <x v="30"/>
    <s v="Poet Biorefining-Hudson"/>
    <x v="155"/>
    <x v="10"/>
    <x v="0"/>
    <x v="287"/>
    <n v="70000000"/>
  </r>
  <r>
    <x v="6"/>
    <x v="31"/>
    <s v="Red Trail Energy LLC"/>
    <x v="153"/>
    <x v="16"/>
    <x v="0"/>
    <x v="288"/>
    <n v="69949425"/>
  </r>
  <r>
    <x v="6"/>
    <x v="31"/>
    <s v="Redfield Energy,"/>
    <x v="159"/>
    <x v="10"/>
    <x v="0"/>
    <x v="289"/>
    <n v="70000000"/>
  </r>
  <r>
    <x v="6"/>
    <x v="32"/>
    <s v="Poet Biorefining-Mitchell"/>
    <x v="160"/>
    <x v="10"/>
    <x v="0"/>
    <x v="290"/>
    <n v="81555600"/>
  </r>
  <r>
    <x v="6"/>
    <x v="34"/>
    <s v="Red Trail Energy LLC"/>
    <x v="153"/>
    <x v="16"/>
    <x v="0"/>
    <x v="291"/>
    <n v="69949425"/>
  </r>
  <r>
    <x v="6"/>
    <x v="35"/>
    <s v="Redfield Energy,"/>
    <x v="159"/>
    <x v="10"/>
    <x v="0"/>
    <x v="292"/>
    <n v="70000000"/>
  </r>
  <r>
    <x v="6"/>
    <x v="35"/>
    <s v="Ring-neck Energy &amp; Feed"/>
    <x v="146"/>
    <x v="10"/>
    <x v="0"/>
    <x v="293"/>
    <n v="105000000"/>
  </r>
  <r>
    <x v="6"/>
    <x v="36"/>
    <s v="Dakota Ethanol, LLC"/>
    <x v="148"/>
    <x v="10"/>
    <x v="0"/>
    <x v="294"/>
    <n v="60000000"/>
  </r>
  <r>
    <x v="6"/>
    <x v="36"/>
    <s v="DEQ Unknown"/>
    <x v="144"/>
    <x v="3"/>
    <x v="0"/>
    <x v="265"/>
    <n v="1000000"/>
  </r>
  <r>
    <x v="6"/>
    <x v="68"/>
    <s v="Poet Biorefining-Big Stone"/>
    <x v="161"/>
    <x v="10"/>
    <x v="0"/>
    <x v="295"/>
    <n v="90000000"/>
  </r>
  <r>
    <x v="6"/>
    <x v="68"/>
    <s v="Poet Biorefining-Coon Rapids"/>
    <x v="162"/>
    <x v="13"/>
    <x v="0"/>
    <x v="296"/>
    <n v="60000000"/>
  </r>
  <r>
    <x v="6"/>
    <x v="37"/>
    <s v="DEQ Unknown"/>
    <x v="144"/>
    <x v="3"/>
    <x v="0"/>
    <x v="297"/>
    <n v="1000000"/>
  </r>
  <r>
    <x v="6"/>
    <x v="37"/>
    <s v="E Energy Adams, LLC"/>
    <x v="163"/>
    <x v="0"/>
    <x v="0"/>
    <x v="298"/>
    <n v="84000000"/>
  </r>
  <r>
    <x v="6"/>
    <x v="37"/>
    <s v="Glacial Lakes Corn Processors"/>
    <x v="164"/>
    <x v="10"/>
    <x v="0"/>
    <x v="299"/>
    <n v="162000000"/>
  </r>
  <r>
    <x v="6"/>
    <x v="37"/>
    <s v="Glacial Lakes Corn Processors"/>
    <x v="165"/>
    <x v="10"/>
    <x v="0"/>
    <x v="300"/>
    <n v="148000000"/>
  </r>
  <r>
    <x v="6"/>
    <x v="37"/>
    <s v="Hankinson Renewable Energy, LLC"/>
    <x v="126"/>
    <x v="16"/>
    <x v="0"/>
    <x v="301"/>
    <n v="145000000"/>
  </r>
  <r>
    <x v="6"/>
    <x v="92"/>
    <s v="DEQ Unknown"/>
    <x v="144"/>
    <x v="3"/>
    <x v="1"/>
    <x v="297"/>
    <n v="1000000"/>
  </r>
  <r>
    <x v="6"/>
    <x v="92"/>
    <s v="FutureFuel Chemical Company"/>
    <x v="166"/>
    <x v="14"/>
    <x v="1"/>
    <x v="302"/>
    <n v="59000000"/>
  </r>
  <r>
    <x v="6"/>
    <x v="39"/>
    <s v="Hankinson Renewable Energy, LLC"/>
    <x v="126"/>
    <x v="16"/>
    <x v="0"/>
    <x v="162"/>
    <n v="145000000"/>
  </r>
  <r>
    <x v="6"/>
    <x v="40"/>
    <s v="REG Albert Lea"/>
    <x v="139"/>
    <x v="2"/>
    <x v="1"/>
    <x v="303"/>
    <n v="30000000"/>
  </r>
  <r>
    <x v="6"/>
    <x v="42"/>
    <s v="BIOX Canada Limited"/>
    <x v="152"/>
    <x v="7"/>
    <x v="1"/>
    <x v="304"/>
    <n v="16642847"/>
  </r>
  <r>
    <x v="6"/>
    <x v="43"/>
    <s v="U.S. Venture, Inc."/>
    <x v="136"/>
    <x v="22"/>
    <x v="10"/>
    <x v="175"/>
    <n v="9771416"/>
  </r>
  <r>
    <x v="6"/>
    <x v="43"/>
    <s v="Yuma Ethanol, LLC"/>
    <x v="167"/>
    <x v="15"/>
    <x v="0"/>
    <x v="305"/>
    <n v="60000000"/>
  </r>
  <r>
    <x v="6"/>
    <x v="44"/>
    <s v="Poet Biorefining-Chancellor"/>
    <x v="168"/>
    <x v="10"/>
    <x v="0"/>
    <x v="306"/>
    <n v="128722000"/>
  </r>
  <r>
    <x v="6"/>
    <x v="44"/>
    <s v="Poet Biorefining-Groton"/>
    <x v="158"/>
    <x v="10"/>
    <x v="0"/>
    <x v="1"/>
    <n v="65000000"/>
  </r>
  <r>
    <x v="6"/>
    <x v="47"/>
    <s v="Poet Biorefining-Big Stone"/>
    <x v="161"/>
    <x v="10"/>
    <x v="0"/>
    <x v="307"/>
    <n v="90000000"/>
  </r>
  <r>
    <x v="6"/>
    <x v="48"/>
    <s v="Poet Biorefining-Coon Rapids"/>
    <x v="162"/>
    <x v="13"/>
    <x v="0"/>
    <x v="308"/>
    <n v="60000000"/>
  </r>
  <r>
    <x v="6"/>
    <x v="48"/>
    <s v="Poet Biorefining-Corning"/>
    <x v="140"/>
    <x v="13"/>
    <x v="0"/>
    <x v="309"/>
    <n v="80000000"/>
  </r>
  <r>
    <x v="6"/>
    <x v="73"/>
    <s v="Dakota Ethanol, LLC"/>
    <x v="148"/>
    <x v="10"/>
    <x v="0"/>
    <x v="310"/>
    <n v="60000000"/>
  </r>
  <r>
    <x v="6"/>
    <x v="73"/>
    <s v="Dakota Prairie Refining"/>
    <x v="128"/>
    <x v="16"/>
    <x v="2"/>
    <x v="311"/>
    <n v="571200"/>
  </r>
  <r>
    <x v="6"/>
    <x v="51"/>
    <s v="Dakota Ethanol, LLC"/>
    <x v="148"/>
    <x v="10"/>
    <x v="0"/>
    <x v="312"/>
    <n v="60000000"/>
  </r>
  <r>
    <x v="6"/>
    <x v="52"/>
    <s v="High Plains Bioenergy"/>
    <x v="169"/>
    <x v="17"/>
    <x v="1"/>
    <x v="313"/>
    <n v="34675000"/>
  </r>
  <r>
    <x v="6"/>
    <x v="52"/>
    <s v="REG Grays Harbor LLC"/>
    <x v="150"/>
    <x v="1"/>
    <x v="1"/>
    <x v="5"/>
    <n v="100000000"/>
  </r>
  <r>
    <x v="6"/>
    <x v="56"/>
    <s v="REG Newton, LLC"/>
    <x v="170"/>
    <x v="13"/>
    <x v="1"/>
    <x v="314"/>
    <n v="30000000"/>
  </r>
  <r>
    <x v="6"/>
    <x v="56"/>
    <s v="REG Seneca"/>
    <x v="131"/>
    <x v="24"/>
    <x v="1"/>
    <x v="315"/>
    <n v="60000000"/>
  </r>
  <r>
    <x v="6"/>
    <x v="58"/>
    <s v="Glacial Lakes Corn Processors"/>
    <x v="171"/>
    <x v="10"/>
    <x v="0"/>
    <x v="316"/>
    <n v="61000000"/>
  </r>
  <r>
    <x v="6"/>
    <x v="58"/>
    <s v="Glacial Lakes Corn Processors"/>
    <x v="172"/>
    <x v="10"/>
    <x v="0"/>
    <x v="317"/>
    <n v="40000000"/>
  </r>
  <r>
    <x v="6"/>
    <x v="58"/>
    <s v="Hankinson Renewable Energy, LLC"/>
    <x v="126"/>
    <x v="16"/>
    <x v="0"/>
    <x v="318"/>
    <n v="145000000"/>
  </r>
  <r>
    <x v="6"/>
    <x v="58"/>
    <s v="Husker Ag LLC"/>
    <x v="173"/>
    <x v="0"/>
    <x v="0"/>
    <x v="319"/>
    <n v="109000000"/>
  </r>
  <r>
    <x v="6"/>
    <x v="58"/>
    <s v="KAAPA Ethanol Holdings, LLC"/>
    <x v="174"/>
    <x v="0"/>
    <x v="0"/>
    <x v="320"/>
    <n v="130000000"/>
  </r>
  <r>
    <x v="6"/>
    <x v="59"/>
    <s v="REG Geismar, LLC"/>
    <x v="149"/>
    <x v="19"/>
    <x v="2"/>
    <x v="321"/>
    <n v="75000000"/>
  </r>
  <r>
    <x v="6"/>
    <x v="59"/>
    <s v="Wyoming Renewable Diesel Company LLC."/>
    <x v="175"/>
    <x v="8"/>
    <x v="2"/>
    <x v="322"/>
    <n v="153300000"/>
  </r>
  <r>
    <x v="6"/>
    <x v="70"/>
    <s v="Siouxland Energy Cooperative"/>
    <x v="147"/>
    <x v="13"/>
    <x v="0"/>
    <x v="323"/>
    <n v="70000000"/>
  </r>
  <r>
    <x v="6"/>
    <x v="70"/>
    <s v="SIOUXLAND ETHANOL, LLC"/>
    <x v="176"/>
    <x v="0"/>
    <x v="0"/>
    <x v="324"/>
    <n v="82125000"/>
  </r>
  <r>
    <x v="6"/>
    <x v="70"/>
    <s v="Sterling Ethanol, LLC"/>
    <x v="177"/>
    <x v="15"/>
    <x v="0"/>
    <x v="325"/>
    <n v="60000000"/>
  </r>
  <r>
    <x v="6"/>
    <x v="70"/>
    <s v="Trenton Agri Products LLC"/>
    <x v="178"/>
    <x v="0"/>
    <x v="0"/>
    <x v="203"/>
    <n v="55000000"/>
  </r>
  <r>
    <x v="6"/>
    <x v="60"/>
    <s v="Dakota Ethanol, LLC"/>
    <x v="148"/>
    <x v="10"/>
    <x v="0"/>
    <x v="326"/>
    <n v="60000000"/>
  </r>
  <r>
    <x v="6"/>
    <x v="62"/>
    <s v="REG Newton, LLC"/>
    <x v="170"/>
    <x v="13"/>
    <x v="1"/>
    <x v="327"/>
    <n v="30000000"/>
  </r>
  <r>
    <x v="6"/>
    <x v="63"/>
    <s v="REG Albert Lea"/>
    <x v="139"/>
    <x v="2"/>
    <x v="1"/>
    <x v="328"/>
    <n v="3000000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86">
  <r>
    <x v="0"/>
    <x v="0"/>
    <x v="0"/>
    <n v="48.71"/>
    <x v="0"/>
    <x v="0"/>
  </r>
  <r>
    <x v="0"/>
    <x v="0"/>
    <x v="1"/>
    <n v="59.95"/>
    <x v="0"/>
    <x v="0"/>
  </r>
  <r>
    <x v="0"/>
    <x v="0"/>
    <x v="2"/>
    <n v="43.135008999999997"/>
    <x v="0"/>
    <x v="0"/>
  </r>
  <r>
    <x v="0"/>
    <x v="0"/>
    <x v="3"/>
    <n v="41.303731999999997"/>
    <x v="0"/>
    <x v="0"/>
  </r>
  <r>
    <x v="0"/>
    <x v="0"/>
    <x v="4"/>
    <n v="53.120438999999998"/>
    <x v="0"/>
    <x v="0"/>
  </r>
  <r>
    <x v="0"/>
    <x v="0"/>
    <x v="5"/>
    <n v="52.154767999999997"/>
    <x v="0"/>
    <x v="0"/>
  </r>
  <r>
    <x v="0"/>
    <x v="0"/>
    <x v="6"/>
    <n v="48.007739000000001"/>
    <x v="0"/>
    <x v="0"/>
  </r>
  <r>
    <x v="0"/>
    <x v="0"/>
    <x v="7"/>
    <n v="45.111696999999999"/>
    <x v="0"/>
    <x v="0"/>
  </r>
  <r>
    <x v="0"/>
    <x v="0"/>
    <x v="8"/>
    <n v="56.240825999999998"/>
    <x v="0"/>
    <x v="0"/>
  </r>
  <r>
    <x v="0"/>
    <x v="0"/>
    <x v="9"/>
    <n v="58.58325"/>
    <x v="0"/>
    <x v="0"/>
  </r>
  <r>
    <x v="0"/>
    <x v="0"/>
    <x v="10"/>
    <n v="58.725583"/>
    <x v="0"/>
    <x v="0"/>
  </r>
  <r>
    <x v="0"/>
    <x v="0"/>
    <x v="11"/>
    <n v="59.574649999999998"/>
    <x v="0"/>
    <x v="0"/>
  </r>
  <r>
    <x v="0"/>
    <x v="0"/>
    <x v="12"/>
    <n v="59.438955"/>
    <x v="0"/>
    <x v="0"/>
  </r>
  <r>
    <x v="0"/>
    <x v="0"/>
    <x v="13"/>
    <n v="59.490509000000003"/>
    <x v="0"/>
    <x v="0"/>
  </r>
  <r>
    <x v="0"/>
    <x v="0"/>
    <x v="14"/>
    <n v="59.655835000000003"/>
    <x v="0"/>
    <x v="0"/>
  </r>
  <r>
    <x v="0"/>
    <x v="0"/>
    <x v="15"/>
    <n v="55.287379999999999"/>
    <x v="0"/>
    <x v="0"/>
  </r>
  <r>
    <x v="0"/>
    <x v="0"/>
    <x v="16"/>
    <n v="58.600943000000001"/>
    <x v="0"/>
    <x v="0"/>
  </r>
  <r>
    <x v="0"/>
    <x v="0"/>
    <x v="17"/>
    <n v="58.880141999999999"/>
    <x v="0"/>
    <x v="0"/>
  </r>
  <r>
    <x v="0"/>
    <x v="0"/>
    <x v="18"/>
    <n v="52.934475999999997"/>
    <x v="0"/>
    <x v="0"/>
  </r>
  <r>
    <x v="0"/>
    <x v="0"/>
    <x v="19"/>
    <n v="52.835273000000001"/>
    <x v="0"/>
    <x v="0"/>
  </r>
  <r>
    <x v="0"/>
    <x v="0"/>
    <x v="20"/>
    <n v="51.284272000000001"/>
    <x v="0"/>
    <x v="0"/>
  </r>
  <r>
    <x v="0"/>
    <x v="0"/>
    <x v="21"/>
    <n v="44.692737000000001"/>
    <x v="0"/>
    <x v="0"/>
  </r>
  <r>
    <x v="0"/>
    <x v="0"/>
    <x v="22"/>
    <n v="9.7770899999999994"/>
    <x v="0"/>
    <x v="0"/>
  </r>
  <r>
    <x v="0"/>
    <x v="0"/>
    <x v="23"/>
    <n v="-2.982253"/>
    <x v="0"/>
    <x v="0"/>
  </r>
  <r>
    <x v="0"/>
    <x v="0"/>
    <x v="24"/>
    <n v="-10.223516"/>
    <x v="0"/>
    <x v="0"/>
  </r>
  <r>
    <x v="0"/>
    <x v="0"/>
    <x v="25"/>
    <n v="16.042795000000002"/>
    <x v="0"/>
    <x v="0"/>
  </r>
  <r>
    <x v="0"/>
    <x v="0"/>
    <x v="26"/>
    <n v="52.637411"/>
    <x v="0"/>
    <x v="0"/>
  </r>
  <r>
    <x v="0"/>
    <x v="0"/>
    <x v="27"/>
    <n v="12.733893999999999"/>
    <x v="0"/>
    <x v="0"/>
  </r>
  <r>
    <x v="0"/>
    <x v="0"/>
    <x v="28"/>
    <n v="-82.821997999999994"/>
    <x v="0"/>
    <x v="0"/>
  </r>
  <r>
    <x v="0"/>
    <x v="0"/>
    <x v="29"/>
    <n v="-189.22628399999999"/>
    <x v="0"/>
    <x v="0"/>
  </r>
  <r>
    <x v="0"/>
    <x v="0"/>
    <x v="30"/>
    <n v="-233.338233"/>
    <x v="0"/>
    <x v="0"/>
  </r>
  <r>
    <x v="0"/>
    <x v="0"/>
    <x v="31"/>
    <n v="-235.56300100000001"/>
    <x v="0"/>
    <x v="0"/>
  </r>
  <r>
    <x v="0"/>
    <x v="0"/>
    <x v="32"/>
    <n v="-13.006612000000001"/>
    <x v="0"/>
    <x v="0"/>
  </r>
  <r>
    <x v="0"/>
    <x v="0"/>
    <x v="33"/>
    <n v="9.7987830000000002"/>
    <x v="0"/>
    <x v="0"/>
  </r>
  <r>
    <x v="0"/>
    <x v="0"/>
    <x v="34"/>
    <n v="24.311437999999999"/>
    <x v="0"/>
    <x v="0"/>
  </r>
  <r>
    <x v="0"/>
    <x v="0"/>
    <x v="35"/>
    <n v="10.417018000000001"/>
    <x v="0"/>
    <x v="0"/>
  </r>
  <r>
    <x v="0"/>
    <x v="0"/>
    <x v="36"/>
    <n v="8.0857030000000005"/>
    <x v="0"/>
    <x v="0"/>
  </r>
  <r>
    <x v="0"/>
    <x v="1"/>
    <x v="0"/>
    <n v="56.379038000000001"/>
    <x v="1"/>
    <x v="1"/>
  </r>
  <r>
    <x v="0"/>
    <x v="1"/>
    <x v="1"/>
    <n v="51.309482000000003"/>
    <x v="1"/>
    <x v="1"/>
  </r>
  <r>
    <x v="0"/>
    <x v="1"/>
    <x v="2"/>
    <n v="51.127991000000002"/>
    <x v="1"/>
    <x v="1"/>
  </r>
  <r>
    <x v="0"/>
    <x v="1"/>
    <x v="3"/>
    <n v="48.720706"/>
    <x v="1"/>
    <x v="1"/>
  </r>
  <r>
    <x v="0"/>
    <x v="1"/>
    <x v="4"/>
    <n v="46.351509999999998"/>
    <x v="1"/>
    <x v="1"/>
  </r>
  <r>
    <x v="0"/>
    <x v="1"/>
    <x v="5"/>
    <n v="47.582414"/>
    <x v="1"/>
    <x v="1"/>
  </r>
  <r>
    <x v="0"/>
    <x v="1"/>
    <x v="6"/>
    <n v="47.061188000000001"/>
    <x v="1"/>
    <x v="1"/>
  </r>
  <r>
    <x v="0"/>
    <x v="1"/>
    <x v="7"/>
    <n v="47.447875000000003"/>
    <x v="1"/>
    <x v="1"/>
  </r>
  <r>
    <x v="0"/>
    <x v="1"/>
    <x v="8"/>
    <n v="45.212212999999998"/>
    <x v="1"/>
    <x v="1"/>
  </r>
  <r>
    <x v="0"/>
    <x v="1"/>
    <x v="9"/>
    <n v="46.029558999999999"/>
    <x v="1"/>
    <x v="1"/>
  </r>
  <r>
    <x v="0"/>
    <x v="1"/>
    <x v="10"/>
    <n v="45.337699999999998"/>
    <x v="1"/>
    <x v="1"/>
  </r>
  <r>
    <x v="0"/>
    <x v="1"/>
    <x v="11"/>
    <n v="44.345942000000001"/>
    <x v="1"/>
    <x v="1"/>
  </r>
  <r>
    <x v="0"/>
    <x v="1"/>
    <x v="12"/>
    <n v="39.512534000000002"/>
    <x v="1"/>
    <x v="1"/>
  </r>
  <r>
    <x v="0"/>
    <x v="1"/>
    <x v="13"/>
    <n v="38.918771"/>
    <x v="1"/>
    <x v="1"/>
  </r>
  <r>
    <x v="0"/>
    <x v="1"/>
    <x v="14"/>
    <n v="38.965134999999997"/>
    <x v="1"/>
    <x v="1"/>
  </r>
  <r>
    <x v="0"/>
    <x v="1"/>
    <x v="15"/>
    <n v="37.381453"/>
    <x v="1"/>
    <x v="1"/>
  </r>
  <r>
    <x v="0"/>
    <x v="1"/>
    <x v="16"/>
    <n v="36.606195999999997"/>
    <x v="1"/>
    <x v="1"/>
  </r>
  <r>
    <x v="0"/>
    <x v="1"/>
    <x v="17"/>
    <n v="43.720219999999998"/>
    <x v="1"/>
    <x v="1"/>
  </r>
  <r>
    <x v="0"/>
    <x v="1"/>
    <x v="18"/>
    <n v="42.808405999999998"/>
    <x v="1"/>
    <x v="1"/>
  </r>
  <r>
    <x v="0"/>
    <x v="1"/>
    <x v="19"/>
    <n v="44.646799999999999"/>
    <x v="1"/>
    <x v="1"/>
  </r>
  <r>
    <x v="0"/>
    <x v="1"/>
    <x v="20"/>
    <n v="43.230877999999997"/>
    <x v="1"/>
    <x v="1"/>
  </r>
  <r>
    <x v="0"/>
    <x v="1"/>
    <x v="21"/>
    <n v="40.469614999999997"/>
    <x v="1"/>
    <x v="1"/>
  </r>
  <r>
    <x v="0"/>
    <x v="1"/>
    <x v="22"/>
    <n v="41.843519000000001"/>
    <x v="1"/>
    <x v="1"/>
  </r>
  <r>
    <x v="0"/>
    <x v="1"/>
    <x v="23"/>
    <n v="42.091814999999997"/>
    <x v="1"/>
    <x v="1"/>
  </r>
  <r>
    <x v="0"/>
    <x v="1"/>
    <x v="24"/>
    <n v="42.352676000000002"/>
    <x v="1"/>
    <x v="1"/>
  </r>
  <r>
    <x v="0"/>
    <x v="1"/>
    <x v="25"/>
    <n v="40.411079999999998"/>
    <x v="1"/>
    <x v="1"/>
  </r>
  <r>
    <x v="0"/>
    <x v="1"/>
    <x v="26"/>
    <n v="41.363484"/>
    <x v="1"/>
    <x v="1"/>
  </r>
  <r>
    <x v="0"/>
    <x v="1"/>
    <x v="27"/>
    <n v="42.012034"/>
    <x v="1"/>
    <x v="1"/>
  </r>
  <r>
    <x v="0"/>
    <x v="1"/>
    <x v="28"/>
    <n v="45.526927999999998"/>
    <x v="1"/>
    <x v="1"/>
  </r>
  <r>
    <x v="0"/>
    <x v="1"/>
    <x v="29"/>
    <n v="44.291652999999997"/>
    <x v="1"/>
    <x v="1"/>
  </r>
  <r>
    <x v="0"/>
    <x v="1"/>
    <x v="30"/>
    <n v="44.744835000000002"/>
    <x v="1"/>
    <x v="1"/>
  </r>
  <r>
    <x v="0"/>
    <x v="1"/>
    <x v="31"/>
    <n v="45.831619000000003"/>
    <x v="1"/>
    <x v="1"/>
  </r>
  <r>
    <x v="0"/>
    <x v="1"/>
    <x v="32"/>
    <n v="46.527217"/>
    <x v="1"/>
    <x v="1"/>
  </r>
  <r>
    <x v="0"/>
    <x v="1"/>
    <x v="33"/>
    <n v="43.619804999999999"/>
    <x v="1"/>
    <x v="1"/>
  </r>
  <r>
    <x v="0"/>
    <x v="1"/>
    <x v="34"/>
    <n v="42.927725000000002"/>
    <x v="1"/>
    <x v="1"/>
  </r>
  <r>
    <x v="0"/>
    <x v="1"/>
    <x v="35"/>
    <n v="46.424750000000003"/>
    <x v="1"/>
    <x v="1"/>
  </r>
  <r>
    <x v="0"/>
    <x v="1"/>
    <x v="36"/>
    <n v="46.052311000000003"/>
    <x v="1"/>
    <x v="1"/>
  </r>
  <r>
    <x v="0"/>
    <x v="2"/>
    <x v="0"/>
    <m/>
    <x v="2"/>
    <x v="2"/>
  </r>
  <r>
    <x v="0"/>
    <x v="2"/>
    <x v="1"/>
    <m/>
    <x v="2"/>
    <x v="2"/>
  </r>
  <r>
    <x v="0"/>
    <x v="2"/>
    <x v="2"/>
    <m/>
    <x v="2"/>
    <x v="2"/>
  </r>
  <r>
    <x v="0"/>
    <x v="2"/>
    <x v="3"/>
    <m/>
    <x v="2"/>
    <x v="2"/>
  </r>
  <r>
    <x v="0"/>
    <x v="2"/>
    <x v="4"/>
    <m/>
    <x v="2"/>
    <x v="2"/>
  </r>
  <r>
    <x v="0"/>
    <x v="2"/>
    <x v="5"/>
    <m/>
    <x v="2"/>
    <x v="2"/>
  </r>
  <r>
    <x v="0"/>
    <x v="2"/>
    <x v="6"/>
    <m/>
    <x v="2"/>
    <x v="2"/>
  </r>
  <r>
    <x v="0"/>
    <x v="2"/>
    <x v="7"/>
    <n v="33.64"/>
    <x v="2"/>
    <x v="2"/>
  </r>
  <r>
    <x v="0"/>
    <x v="2"/>
    <x v="8"/>
    <n v="48.755915000000002"/>
    <x v="2"/>
    <x v="2"/>
  </r>
  <r>
    <x v="0"/>
    <x v="2"/>
    <x v="9"/>
    <n v="36.380665"/>
    <x v="2"/>
    <x v="2"/>
  </r>
  <r>
    <x v="0"/>
    <x v="2"/>
    <x v="10"/>
    <n v="37.423884000000001"/>
    <x v="2"/>
    <x v="2"/>
  </r>
  <r>
    <x v="0"/>
    <x v="2"/>
    <x v="11"/>
    <n v="34.957965000000002"/>
    <x v="2"/>
    <x v="2"/>
  </r>
  <r>
    <x v="0"/>
    <x v="2"/>
    <x v="12"/>
    <n v="53.912984999999999"/>
    <x v="2"/>
    <x v="2"/>
  </r>
  <r>
    <x v="0"/>
    <x v="2"/>
    <x v="13"/>
    <n v="44.743946999999999"/>
    <x v="2"/>
    <x v="2"/>
  </r>
  <r>
    <x v="0"/>
    <x v="2"/>
    <x v="14"/>
    <n v="29.880027999999999"/>
    <x v="2"/>
    <x v="2"/>
  </r>
  <r>
    <x v="0"/>
    <x v="2"/>
    <x v="15"/>
    <n v="28.248653000000001"/>
    <x v="2"/>
    <x v="2"/>
  </r>
  <r>
    <x v="0"/>
    <x v="2"/>
    <x v="16"/>
    <n v="27.322922999999999"/>
    <x v="2"/>
    <x v="2"/>
  </r>
  <r>
    <x v="0"/>
    <x v="2"/>
    <x v="17"/>
    <n v="30.180482000000001"/>
    <x v="2"/>
    <x v="2"/>
  </r>
  <r>
    <x v="0"/>
    <x v="2"/>
    <x v="18"/>
    <n v="64.024272999999994"/>
    <x v="2"/>
    <x v="2"/>
  </r>
  <r>
    <x v="0"/>
    <x v="2"/>
    <x v="19"/>
    <n v="39.460264000000002"/>
    <x v="2"/>
    <x v="2"/>
  </r>
  <r>
    <x v="0"/>
    <x v="2"/>
    <x v="20"/>
    <n v="63.839466000000002"/>
    <x v="2"/>
    <x v="2"/>
  </r>
  <r>
    <x v="0"/>
    <x v="2"/>
    <x v="21"/>
    <n v="298.40747599999997"/>
    <x v="2"/>
    <x v="2"/>
  </r>
  <r>
    <x v="0"/>
    <x v="2"/>
    <x v="22"/>
    <n v="48.947758999999998"/>
    <x v="2"/>
    <x v="2"/>
  </r>
  <r>
    <x v="0"/>
    <x v="2"/>
    <x v="23"/>
    <n v="-1561.2142200000001"/>
    <x v="2"/>
    <x v="2"/>
  </r>
  <r>
    <x v="0"/>
    <x v="2"/>
    <x v="24"/>
    <n v="44.805197999999997"/>
    <x v="2"/>
    <x v="2"/>
  </r>
  <r>
    <x v="0"/>
    <x v="2"/>
    <x v="25"/>
    <n v="39.855713000000002"/>
    <x v="2"/>
    <x v="2"/>
  </r>
  <r>
    <x v="0"/>
    <x v="2"/>
    <x v="26"/>
    <n v="19.692378000000001"/>
    <x v="2"/>
    <x v="2"/>
  </r>
  <r>
    <x v="0"/>
    <x v="2"/>
    <x v="27"/>
    <n v="43.538514999999997"/>
    <x v="2"/>
    <x v="2"/>
  </r>
  <r>
    <x v="0"/>
    <x v="2"/>
    <x v="28"/>
    <n v="46.658309000000003"/>
    <x v="2"/>
    <x v="2"/>
  </r>
  <r>
    <x v="0"/>
    <x v="2"/>
    <x v="29"/>
    <n v="32.456212000000001"/>
    <x v="2"/>
    <x v="2"/>
  </r>
  <r>
    <x v="0"/>
    <x v="2"/>
    <x v="30"/>
    <n v="32.833112"/>
    <x v="2"/>
    <x v="2"/>
  </r>
  <r>
    <x v="0"/>
    <x v="2"/>
    <x v="31"/>
    <n v="29.250657"/>
    <x v="2"/>
    <x v="2"/>
  </r>
  <r>
    <x v="0"/>
    <x v="2"/>
    <x v="32"/>
    <n v="32.701335999999998"/>
    <x v="2"/>
    <x v="2"/>
  </r>
  <r>
    <x v="0"/>
    <x v="2"/>
    <x v="33"/>
    <n v="31.864189"/>
    <x v="2"/>
    <x v="2"/>
  </r>
  <r>
    <x v="0"/>
    <x v="2"/>
    <x v="34"/>
    <n v="34.643231"/>
    <x v="2"/>
    <x v="2"/>
  </r>
  <r>
    <x v="0"/>
    <x v="2"/>
    <x v="35"/>
    <n v="45.627907999999998"/>
    <x v="2"/>
    <x v="2"/>
  </r>
  <r>
    <x v="0"/>
    <x v="2"/>
    <x v="36"/>
    <n v="18.651433999999998"/>
    <x v="2"/>
    <x v="2"/>
  </r>
  <r>
    <x v="0"/>
    <x v="3"/>
    <x v="0"/>
    <n v="31.85"/>
    <x v="3"/>
    <x v="0"/>
  </r>
  <r>
    <x v="0"/>
    <x v="3"/>
    <x v="1"/>
    <n v="31.85"/>
    <x v="3"/>
    <x v="0"/>
  </r>
  <r>
    <x v="0"/>
    <x v="3"/>
    <x v="2"/>
    <n v="31.85"/>
    <x v="3"/>
    <x v="0"/>
  </r>
  <r>
    <x v="0"/>
    <x v="3"/>
    <x v="3"/>
    <n v="31.830390999999999"/>
    <x v="3"/>
    <x v="0"/>
  </r>
  <r>
    <x v="0"/>
    <x v="3"/>
    <x v="4"/>
    <n v="31.787837"/>
    <x v="3"/>
    <x v="0"/>
  </r>
  <r>
    <x v="0"/>
    <x v="3"/>
    <x v="5"/>
    <n v="31.743455000000001"/>
    <x v="3"/>
    <x v="0"/>
  </r>
  <r>
    <x v="0"/>
    <x v="3"/>
    <x v="6"/>
    <n v="31.744263"/>
    <x v="3"/>
    <x v="0"/>
  </r>
  <r>
    <x v="0"/>
    <x v="3"/>
    <x v="7"/>
    <n v="26.032717999999999"/>
    <x v="3"/>
    <x v="0"/>
  </r>
  <r>
    <x v="0"/>
    <x v="3"/>
    <x v="8"/>
    <n v="109.00094900000001"/>
    <x v="3"/>
    <x v="0"/>
  </r>
  <r>
    <x v="0"/>
    <x v="3"/>
    <x v="9"/>
    <n v="108.84683800000001"/>
    <x v="3"/>
    <x v="0"/>
  </r>
  <r>
    <x v="0"/>
    <x v="3"/>
    <x v="10"/>
    <n v="109.22977"/>
    <x v="3"/>
    <x v="0"/>
  </r>
  <r>
    <x v="0"/>
    <x v="3"/>
    <x v="11"/>
    <n v="109.244354"/>
    <x v="3"/>
    <x v="0"/>
  </r>
  <r>
    <x v="0"/>
    <x v="3"/>
    <x v="12"/>
    <n v="109.168012"/>
    <x v="3"/>
    <x v="0"/>
  </r>
  <r>
    <x v="0"/>
    <x v="3"/>
    <x v="13"/>
    <n v="108.98738899999999"/>
    <x v="3"/>
    <x v="0"/>
  </r>
  <r>
    <x v="0"/>
    <x v="3"/>
    <x v="14"/>
    <n v="108.85016899999999"/>
    <x v="3"/>
    <x v="0"/>
  </r>
  <r>
    <x v="0"/>
    <x v="3"/>
    <x v="15"/>
    <n v="108.763722"/>
    <x v="3"/>
    <x v="0"/>
  </r>
  <r>
    <x v="0"/>
    <x v="3"/>
    <x v="16"/>
    <n v="107.486639"/>
    <x v="3"/>
    <x v="0"/>
  </r>
  <r>
    <x v="0"/>
    <x v="3"/>
    <x v="17"/>
    <n v="107.604968"/>
    <x v="3"/>
    <x v="0"/>
  </r>
  <r>
    <x v="0"/>
    <x v="3"/>
    <x v="18"/>
    <n v="107.616692"/>
    <x v="3"/>
    <x v="0"/>
  </r>
  <r>
    <x v="0"/>
    <x v="3"/>
    <x v="19"/>
    <n v="107.669529"/>
    <x v="3"/>
    <x v="0"/>
  </r>
  <r>
    <x v="0"/>
    <x v="3"/>
    <x v="20"/>
    <n v="62.483383000000003"/>
    <x v="3"/>
    <x v="0"/>
  </r>
  <r>
    <x v="0"/>
    <x v="3"/>
    <x v="21"/>
    <n v="51.473050000000001"/>
    <x v="3"/>
    <x v="0"/>
  </r>
  <r>
    <x v="0"/>
    <x v="3"/>
    <x v="22"/>
    <n v="2.309669"/>
    <x v="3"/>
    <x v="0"/>
  </r>
  <r>
    <x v="0"/>
    <x v="3"/>
    <x v="23"/>
    <n v="-1.499957"/>
    <x v="3"/>
    <x v="0"/>
  </r>
  <r>
    <x v="0"/>
    <x v="3"/>
    <x v="24"/>
    <n v="27.170753999999999"/>
    <x v="3"/>
    <x v="0"/>
  </r>
  <r>
    <x v="0"/>
    <x v="3"/>
    <x v="25"/>
    <n v="2.214486"/>
    <x v="3"/>
    <x v="0"/>
  </r>
  <r>
    <x v="0"/>
    <x v="3"/>
    <x v="26"/>
    <n v="-19.098078999999998"/>
    <x v="3"/>
    <x v="0"/>
  </r>
  <r>
    <x v="0"/>
    <x v="3"/>
    <x v="27"/>
    <n v="-10.68117"/>
    <x v="3"/>
    <x v="0"/>
  </r>
  <r>
    <x v="0"/>
    <x v="3"/>
    <x v="28"/>
    <n v="2.8656380000000001"/>
    <x v="3"/>
    <x v="0"/>
  </r>
  <r>
    <x v="0"/>
    <x v="3"/>
    <x v="29"/>
    <n v="-112.77164999999999"/>
    <x v="3"/>
    <x v="0"/>
  </r>
  <r>
    <x v="0"/>
    <x v="3"/>
    <x v="30"/>
    <n v="-78.065922999999998"/>
    <x v="3"/>
    <x v="0"/>
  </r>
  <r>
    <x v="0"/>
    <x v="3"/>
    <x v="31"/>
    <n v="-81.318068999999994"/>
    <x v="3"/>
    <x v="0"/>
  </r>
  <r>
    <x v="0"/>
    <x v="3"/>
    <x v="32"/>
    <n v="2.5585830000000001"/>
    <x v="3"/>
    <x v="0"/>
  </r>
  <r>
    <x v="0"/>
    <x v="3"/>
    <x v="33"/>
    <n v="2.053585"/>
    <x v="3"/>
    <x v="0"/>
  </r>
  <r>
    <x v="0"/>
    <x v="3"/>
    <x v="34"/>
    <n v="-33.915694000000002"/>
    <x v="3"/>
    <x v="0"/>
  </r>
  <r>
    <x v="0"/>
    <x v="3"/>
    <x v="35"/>
    <n v="-38.781764000000003"/>
    <x v="3"/>
    <x v="0"/>
  </r>
  <r>
    <x v="0"/>
    <x v="3"/>
    <x v="36"/>
    <n v="-20.419492000000002"/>
    <x v="3"/>
    <x v="0"/>
  </r>
  <r>
    <x v="0"/>
    <x v="4"/>
    <x v="0"/>
    <n v="64.497709"/>
    <x v="4"/>
    <x v="3"/>
  </r>
  <r>
    <x v="0"/>
    <x v="4"/>
    <x v="1"/>
    <n v="62.848443000000003"/>
    <x v="4"/>
    <x v="3"/>
  </r>
  <r>
    <x v="0"/>
    <x v="4"/>
    <x v="2"/>
    <n v="62.995120999999997"/>
    <x v="4"/>
    <x v="3"/>
  </r>
  <r>
    <x v="0"/>
    <x v="4"/>
    <x v="3"/>
    <n v="62.479680999999999"/>
    <x v="4"/>
    <x v="3"/>
  </r>
  <r>
    <x v="0"/>
    <x v="4"/>
    <x v="4"/>
    <n v="62.677536000000003"/>
    <x v="4"/>
    <x v="3"/>
  </r>
  <r>
    <x v="0"/>
    <x v="4"/>
    <x v="5"/>
    <n v="63.038142999999998"/>
    <x v="4"/>
    <x v="3"/>
  </r>
  <r>
    <x v="0"/>
    <x v="4"/>
    <x v="6"/>
    <n v="63.490310000000001"/>
    <x v="4"/>
    <x v="3"/>
  </r>
  <r>
    <x v="0"/>
    <x v="4"/>
    <x v="7"/>
    <n v="61.334682000000001"/>
    <x v="4"/>
    <x v="3"/>
  </r>
  <r>
    <x v="0"/>
    <x v="4"/>
    <x v="8"/>
    <n v="61.852632999999997"/>
    <x v="4"/>
    <x v="3"/>
  </r>
  <r>
    <x v="0"/>
    <x v="4"/>
    <x v="9"/>
    <n v="61.116908000000002"/>
    <x v="4"/>
    <x v="3"/>
  </r>
  <r>
    <x v="0"/>
    <x v="4"/>
    <x v="10"/>
    <n v="60.805055000000003"/>
    <x v="4"/>
    <x v="3"/>
  </r>
  <r>
    <x v="0"/>
    <x v="4"/>
    <x v="11"/>
    <n v="59.728518000000001"/>
    <x v="4"/>
    <x v="3"/>
  </r>
  <r>
    <x v="0"/>
    <x v="4"/>
    <x v="12"/>
    <n v="60.130837999999997"/>
    <x v="4"/>
    <x v="3"/>
  </r>
  <r>
    <x v="0"/>
    <x v="4"/>
    <x v="13"/>
    <n v="59.68497"/>
    <x v="4"/>
    <x v="3"/>
  </r>
  <r>
    <x v="0"/>
    <x v="4"/>
    <x v="14"/>
    <n v="57.023997999999999"/>
    <x v="4"/>
    <x v="3"/>
  </r>
  <r>
    <x v="0"/>
    <x v="4"/>
    <x v="15"/>
    <n v="55.806162"/>
    <x v="4"/>
    <x v="3"/>
  </r>
  <r>
    <x v="0"/>
    <x v="4"/>
    <x v="16"/>
    <n v="55.325642000000002"/>
    <x v="4"/>
    <x v="3"/>
  </r>
  <r>
    <x v="0"/>
    <x v="4"/>
    <x v="17"/>
    <n v="55.784185999999998"/>
    <x v="4"/>
    <x v="3"/>
  </r>
  <r>
    <x v="0"/>
    <x v="4"/>
    <x v="18"/>
    <n v="55.025322000000003"/>
    <x v="4"/>
    <x v="3"/>
  </r>
  <r>
    <x v="0"/>
    <x v="4"/>
    <x v="19"/>
    <n v="52.894784999999999"/>
    <x v="4"/>
    <x v="3"/>
  </r>
  <r>
    <x v="0"/>
    <x v="4"/>
    <x v="20"/>
    <n v="53.552016000000002"/>
    <x v="4"/>
    <x v="3"/>
  </r>
  <r>
    <x v="0"/>
    <x v="4"/>
    <x v="21"/>
    <n v="53.657761000000001"/>
    <x v="4"/>
    <x v="3"/>
  </r>
  <r>
    <x v="0"/>
    <x v="4"/>
    <x v="22"/>
    <n v="53.672823000000001"/>
    <x v="4"/>
    <x v="3"/>
  </r>
  <r>
    <x v="0"/>
    <x v="4"/>
    <x v="23"/>
    <n v="53.984381999999997"/>
    <x v="4"/>
    <x v="3"/>
  </r>
  <r>
    <x v="0"/>
    <x v="4"/>
    <x v="24"/>
    <n v="53.709029999999998"/>
    <x v="4"/>
    <x v="3"/>
  </r>
  <r>
    <x v="0"/>
    <x v="4"/>
    <x v="25"/>
    <n v="53.340283999999997"/>
    <x v="4"/>
    <x v="3"/>
  </r>
  <r>
    <x v="0"/>
    <x v="4"/>
    <x v="26"/>
    <n v="54.008096000000002"/>
    <x v="4"/>
    <x v="3"/>
  </r>
  <r>
    <x v="0"/>
    <x v="4"/>
    <x v="27"/>
    <n v="52.456783999999999"/>
    <x v="4"/>
    <x v="3"/>
  </r>
  <r>
    <x v="0"/>
    <x v="4"/>
    <x v="28"/>
    <n v="49.618988000000002"/>
    <x v="4"/>
    <x v="3"/>
  </r>
  <r>
    <x v="0"/>
    <x v="4"/>
    <x v="29"/>
    <n v="51.528275999999998"/>
    <x v="4"/>
    <x v="3"/>
  </r>
  <r>
    <x v="0"/>
    <x v="4"/>
    <x v="30"/>
    <n v="52.950693999999999"/>
    <x v="4"/>
    <x v="3"/>
  </r>
  <r>
    <x v="0"/>
    <x v="4"/>
    <x v="31"/>
    <n v="49.234352999999999"/>
    <x v="4"/>
    <x v="3"/>
  </r>
  <r>
    <x v="0"/>
    <x v="4"/>
    <x v="32"/>
    <n v="48.789062999999999"/>
    <x v="4"/>
    <x v="3"/>
  </r>
  <r>
    <x v="0"/>
    <x v="4"/>
    <x v="33"/>
    <n v="47.912751"/>
    <x v="4"/>
    <x v="3"/>
  </r>
  <r>
    <x v="0"/>
    <x v="4"/>
    <x v="34"/>
    <n v="48.653191999999997"/>
    <x v="4"/>
    <x v="3"/>
  </r>
  <r>
    <x v="0"/>
    <x v="4"/>
    <x v="35"/>
    <n v="49.801121000000002"/>
    <x v="4"/>
    <x v="3"/>
  </r>
  <r>
    <x v="0"/>
    <x v="4"/>
    <x v="36"/>
    <n v="45.677177999999998"/>
    <x v="4"/>
    <x v="3"/>
  </r>
  <r>
    <x v="0"/>
    <x v="5"/>
    <x v="0"/>
    <m/>
    <x v="5"/>
    <x v="0"/>
  </r>
  <r>
    <x v="0"/>
    <x v="5"/>
    <x v="1"/>
    <m/>
    <x v="5"/>
    <x v="0"/>
  </r>
  <r>
    <x v="0"/>
    <x v="5"/>
    <x v="2"/>
    <m/>
    <x v="5"/>
    <x v="0"/>
  </r>
  <r>
    <x v="0"/>
    <x v="5"/>
    <x v="3"/>
    <m/>
    <x v="5"/>
    <x v="0"/>
  </r>
  <r>
    <x v="0"/>
    <x v="5"/>
    <x v="4"/>
    <m/>
    <x v="5"/>
    <x v="0"/>
  </r>
  <r>
    <x v="0"/>
    <x v="5"/>
    <x v="5"/>
    <m/>
    <x v="5"/>
    <x v="0"/>
  </r>
  <r>
    <x v="0"/>
    <x v="5"/>
    <x v="6"/>
    <m/>
    <x v="5"/>
    <x v="0"/>
  </r>
  <r>
    <x v="0"/>
    <x v="5"/>
    <x v="7"/>
    <m/>
    <x v="5"/>
    <x v="0"/>
  </r>
  <r>
    <x v="0"/>
    <x v="5"/>
    <x v="8"/>
    <m/>
    <x v="5"/>
    <x v="0"/>
  </r>
  <r>
    <x v="0"/>
    <x v="5"/>
    <x v="9"/>
    <m/>
    <x v="5"/>
    <x v="0"/>
  </r>
  <r>
    <x v="0"/>
    <x v="5"/>
    <x v="10"/>
    <m/>
    <x v="5"/>
    <x v="0"/>
  </r>
  <r>
    <x v="0"/>
    <x v="5"/>
    <x v="11"/>
    <n v="39.26"/>
    <x v="5"/>
    <x v="0"/>
  </r>
  <r>
    <x v="0"/>
    <x v="5"/>
    <x v="12"/>
    <n v="39.26"/>
    <x v="5"/>
    <x v="0"/>
  </r>
  <r>
    <x v="0"/>
    <x v="5"/>
    <x v="13"/>
    <n v="39.26"/>
    <x v="5"/>
    <x v="0"/>
  </r>
  <r>
    <x v="0"/>
    <x v="5"/>
    <x v="14"/>
    <n v="39.26"/>
    <x v="5"/>
    <x v="0"/>
  </r>
  <r>
    <x v="0"/>
    <x v="5"/>
    <x v="15"/>
    <n v="39.26"/>
    <x v="5"/>
    <x v="0"/>
  </r>
  <r>
    <x v="0"/>
    <x v="5"/>
    <x v="16"/>
    <n v="39.26"/>
    <x v="5"/>
    <x v="0"/>
  </r>
  <r>
    <x v="0"/>
    <x v="5"/>
    <x v="17"/>
    <n v="39.26"/>
    <x v="5"/>
    <x v="0"/>
  </r>
  <r>
    <x v="0"/>
    <x v="5"/>
    <x v="18"/>
    <n v="45"/>
    <x v="5"/>
    <x v="0"/>
  </r>
  <r>
    <x v="0"/>
    <x v="5"/>
    <x v="19"/>
    <n v="45"/>
    <x v="5"/>
    <x v="0"/>
  </r>
  <r>
    <x v="0"/>
    <x v="5"/>
    <x v="20"/>
    <n v="30.426911"/>
    <x v="5"/>
    <x v="0"/>
  </r>
  <r>
    <x v="0"/>
    <x v="5"/>
    <x v="21"/>
    <n v="37.5"/>
    <x v="5"/>
    <x v="0"/>
  </r>
  <r>
    <x v="0"/>
    <x v="5"/>
    <x v="22"/>
    <n v="33"/>
    <x v="5"/>
    <x v="0"/>
  </r>
  <r>
    <x v="0"/>
    <x v="5"/>
    <x v="23"/>
    <n v="37.5"/>
    <x v="5"/>
    <x v="0"/>
  </r>
  <r>
    <x v="0"/>
    <x v="5"/>
    <x v="24"/>
    <n v="43.5"/>
    <x v="5"/>
    <x v="0"/>
  </r>
  <r>
    <x v="0"/>
    <x v="5"/>
    <x v="25"/>
    <n v="24.002520000000001"/>
    <x v="5"/>
    <x v="0"/>
  </r>
  <r>
    <x v="0"/>
    <x v="5"/>
    <x v="26"/>
    <n v="20.5"/>
    <x v="5"/>
    <x v="0"/>
  </r>
  <r>
    <x v="0"/>
    <x v="5"/>
    <x v="27"/>
    <n v="26"/>
    <x v="5"/>
    <x v="0"/>
  </r>
  <r>
    <x v="0"/>
    <x v="5"/>
    <x v="28"/>
    <n v="20.5"/>
    <x v="5"/>
    <x v="0"/>
  </r>
  <r>
    <x v="0"/>
    <x v="5"/>
    <x v="29"/>
    <n v="20.5"/>
    <x v="5"/>
    <x v="0"/>
  </r>
  <r>
    <x v="0"/>
    <x v="5"/>
    <x v="30"/>
    <n v="20.5"/>
    <x v="5"/>
    <x v="0"/>
  </r>
  <r>
    <x v="0"/>
    <x v="5"/>
    <x v="31"/>
    <n v="20.5"/>
    <x v="5"/>
    <x v="0"/>
  </r>
  <r>
    <x v="0"/>
    <x v="5"/>
    <x v="32"/>
    <m/>
    <x v="5"/>
    <x v="0"/>
  </r>
  <r>
    <x v="0"/>
    <x v="5"/>
    <x v="33"/>
    <m/>
    <x v="5"/>
    <x v="0"/>
  </r>
  <r>
    <x v="0"/>
    <x v="5"/>
    <x v="34"/>
    <m/>
    <x v="5"/>
    <x v="0"/>
  </r>
  <r>
    <x v="0"/>
    <x v="5"/>
    <x v="35"/>
    <m/>
    <x v="5"/>
    <x v="0"/>
  </r>
  <r>
    <x v="0"/>
    <x v="5"/>
    <x v="36"/>
    <m/>
    <x v="5"/>
    <x v="0"/>
  </r>
  <r>
    <x v="1"/>
    <x v="6"/>
    <x v="0"/>
    <n v="0"/>
    <x v="6"/>
    <x v="0"/>
  </r>
  <r>
    <x v="1"/>
    <x v="6"/>
    <x v="1"/>
    <n v="0"/>
    <x v="6"/>
    <x v="0"/>
  </r>
  <r>
    <x v="1"/>
    <x v="6"/>
    <x v="2"/>
    <n v="0"/>
    <x v="6"/>
    <x v="0"/>
  </r>
  <r>
    <x v="1"/>
    <x v="6"/>
    <x v="3"/>
    <n v="0"/>
    <x v="6"/>
    <x v="0"/>
  </r>
  <r>
    <x v="1"/>
    <x v="6"/>
    <x v="4"/>
    <n v="0"/>
    <x v="6"/>
    <x v="0"/>
  </r>
  <r>
    <x v="1"/>
    <x v="6"/>
    <x v="5"/>
    <n v="0"/>
    <x v="6"/>
    <x v="0"/>
  </r>
  <r>
    <x v="1"/>
    <x v="6"/>
    <x v="6"/>
    <n v="0"/>
    <x v="6"/>
    <x v="0"/>
  </r>
  <r>
    <x v="1"/>
    <x v="6"/>
    <x v="7"/>
    <n v="0"/>
    <x v="6"/>
    <x v="0"/>
  </r>
  <r>
    <x v="1"/>
    <x v="6"/>
    <x v="8"/>
    <n v="0"/>
    <x v="6"/>
    <x v="0"/>
  </r>
  <r>
    <x v="1"/>
    <x v="6"/>
    <x v="9"/>
    <n v="0"/>
    <x v="6"/>
    <x v="0"/>
  </r>
  <r>
    <x v="1"/>
    <x v="6"/>
    <x v="10"/>
    <n v="0"/>
    <x v="6"/>
    <x v="0"/>
  </r>
  <r>
    <x v="1"/>
    <x v="6"/>
    <x v="11"/>
    <n v="0"/>
    <x v="6"/>
    <x v="0"/>
  </r>
  <r>
    <x v="1"/>
    <x v="6"/>
    <x v="12"/>
    <n v="0"/>
    <x v="6"/>
    <x v="0"/>
  </r>
  <r>
    <x v="1"/>
    <x v="6"/>
    <x v="13"/>
    <n v="0"/>
    <x v="6"/>
    <x v="0"/>
  </r>
  <r>
    <x v="1"/>
    <x v="6"/>
    <x v="14"/>
    <n v="0"/>
    <x v="6"/>
    <x v="0"/>
  </r>
  <r>
    <x v="1"/>
    <x v="6"/>
    <x v="15"/>
    <n v="0"/>
    <x v="6"/>
    <x v="0"/>
  </r>
  <r>
    <x v="1"/>
    <x v="6"/>
    <x v="16"/>
    <n v="0"/>
    <x v="6"/>
    <x v="0"/>
  </r>
  <r>
    <x v="1"/>
    <x v="6"/>
    <x v="17"/>
    <n v="0"/>
    <x v="6"/>
    <x v="0"/>
  </r>
  <r>
    <x v="1"/>
    <x v="6"/>
    <x v="18"/>
    <n v="0"/>
    <x v="6"/>
    <x v="0"/>
  </r>
  <r>
    <x v="1"/>
    <x v="6"/>
    <x v="19"/>
    <n v="0"/>
    <x v="6"/>
    <x v="0"/>
  </r>
  <r>
    <x v="1"/>
    <x v="6"/>
    <x v="20"/>
    <n v="0"/>
    <x v="6"/>
    <x v="0"/>
  </r>
  <r>
    <x v="1"/>
    <x v="6"/>
    <x v="21"/>
    <n v="0"/>
    <x v="6"/>
    <x v="0"/>
  </r>
  <r>
    <x v="1"/>
    <x v="6"/>
    <x v="22"/>
    <n v="0"/>
    <x v="6"/>
    <x v="0"/>
  </r>
  <r>
    <x v="1"/>
    <x v="6"/>
    <x v="23"/>
    <n v="0"/>
    <x v="6"/>
    <x v="0"/>
  </r>
  <r>
    <x v="1"/>
    <x v="6"/>
    <x v="24"/>
    <n v="0"/>
    <x v="6"/>
    <x v="0"/>
  </r>
  <r>
    <x v="1"/>
    <x v="6"/>
    <x v="25"/>
    <n v="0"/>
    <x v="6"/>
    <x v="0"/>
  </r>
  <r>
    <x v="1"/>
    <x v="6"/>
    <x v="26"/>
    <n v="0"/>
    <x v="6"/>
    <x v="0"/>
  </r>
  <r>
    <x v="1"/>
    <x v="6"/>
    <x v="27"/>
    <n v="0"/>
    <x v="6"/>
    <x v="0"/>
  </r>
  <r>
    <x v="1"/>
    <x v="6"/>
    <x v="28"/>
    <n v="0"/>
    <x v="6"/>
    <x v="0"/>
  </r>
  <r>
    <x v="1"/>
    <x v="6"/>
    <x v="29"/>
    <n v="0"/>
    <x v="6"/>
    <x v="0"/>
  </r>
  <r>
    <x v="1"/>
    <x v="6"/>
    <x v="30"/>
    <n v="0"/>
    <x v="6"/>
    <x v="0"/>
  </r>
  <r>
    <x v="1"/>
    <x v="6"/>
    <x v="31"/>
    <n v="0"/>
    <x v="6"/>
    <x v="0"/>
  </r>
  <r>
    <x v="1"/>
    <x v="6"/>
    <x v="32"/>
    <n v="0"/>
    <x v="6"/>
    <x v="0"/>
  </r>
  <r>
    <x v="1"/>
    <x v="6"/>
    <x v="33"/>
    <n v="0"/>
    <x v="6"/>
    <x v="0"/>
  </r>
  <r>
    <x v="1"/>
    <x v="6"/>
    <x v="34"/>
    <n v="0"/>
    <x v="6"/>
    <x v="0"/>
  </r>
  <r>
    <x v="1"/>
    <x v="6"/>
    <x v="35"/>
    <n v="0"/>
    <x v="6"/>
    <x v="0"/>
  </r>
  <r>
    <x v="1"/>
    <x v="6"/>
    <x v="36"/>
    <n v="0"/>
    <x v="6"/>
    <x v="0"/>
  </r>
  <r>
    <x v="1"/>
    <x v="0"/>
    <x v="0"/>
    <n v="0"/>
    <x v="0"/>
    <x v="0"/>
  </r>
  <r>
    <x v="1"/>
    <x v="0"/>
    <x v="1"/>
    <n v="0"/>
    <x v="0"/>
    <x v="0"/>
  </r>
  <r>
    <x v="1"/>
    <x v="0"/>
    <x v="2"/>
    <n v="1655"/>
    <x v="0"/>
    <x v="0"/>
  </r>
  <r>
    <x v="1"/>
    <x v="0"/>
    <x v="3"/>
    <n v="2486"/>
    <x v="0"/>
    <x v="0"/>
  </r>
  <r>
    <x v="1"/>
    <x v="0"/>
    <x v="4"/>
    <n v="1673"/>
    <x v="0"/>
    <x v="0"/>
  </r>
  <r>
    <x v="1"/>
    <x v="0"/>
    <x v="5"/>
    <n v="2277"/>
    <x v="0"/>
    <x v="0"/>
  </r>
  <r>
    <x v="1"/>
    <x v="0"/>
    <x v="6"/>
    <n v="2237"/>
    <x v="0"/>
    <x v="0"/>
  </r>
  <r>
    <x v="1"/>
    <x v="0"/>
    <x v="7"/>
    <n v="2478"/>
    <x v="0"/>
    <x v="0"/>
  </r>
  <r>
    <x v="1"/>
    <x v="0"/>
    <x v="8"/>
    <n v="876"/>
    <x v="0"/>
    <x v="0"/>
  </r>
  <r>
    <x v="1"/>
    <x v="0"/>
    <x v="9"/>
    <n v="1337"/>
    <x v="0"/>
    <x v="0"/>
  </r>
  <r>
    <x v="1"/>
    <x v="0"/>
    <x v="10"/>
    <n v="1512"/>
    <x v="0"/>
    <x v="0"/>
  </r>
  <r>
    <x v="1"/>
    <x v="0"/>
    <x v="11"/>
    <n v="1801"/>
    <x v="0"/>
    <x v="0"/>
  </r>
  <r>
    <x v="1"/>
    <x v="0"/>
    <x v="12"/>
    <n v="1629"/>
    <x v="0"/>
    <x v="0"/>
  </r>
  <r>
    <x v="1"/>
    <x v="0"/>
    <x v="13"/>
    <n v="1786"/>
    <x v="0"/>
    <x v="0"/>
  </r>
  <r>
    <x v="1"/>
    <x v="0"/>
    <x v="14"/>
    <n v="1863"/>
    <x v="0"/>
    <x v="0"/>
  </r>
  <r>
    <x v="1"/>
    <x v="0"/>
    <x v="15"/>
    <n v="2371"/>
    <x v="0"/>
    <x v="0"/>
  </r>
  <r>
    <x v="1"/>
    <x v="0"/>
    <x v="16"/>
    <n v="2256"/>
    <x v="0"/>
    <x v="0"/>
  </r>
  <r>
    <x v="1"/>
    <x v="0"/>
    <x v="17"/>
    <n v="2410"/>
    <x v="0"/>
    <x v="0"/>
  </r>
  <r>
    <x v="1"/>
    <x v="0"/>
    <x v="18"/>
    <n v="3097"/>
    <x v="0"/>
    <x v="0"/>
  </r>
  <r>
    <x v="1"/>
    <x v="0"/>
    <x v="19"/>
    <n v="3312"/>
    <x v="0"/>
    <x v="0"/>
  </r>
  <r>
    <x v="1"/>
    <x v="0"/>
    <x v="20"/>
    <n v="3471"/>
    <x v="0"/>
    <x v="0"/>
  </r>
  <r>
    <x v="1"/>
    <x v="0"/>
    <x v="21"/>
    <n v="4521"/>
    <x v="0"/>
    <x v="0"/>
  </r>
  <r>
    <x v="1"/>
    <x v="0"/>
    <x v="22"/>
    <n v="9662"/>
    <x v="0"/>
    <x v="0"/>
  </r>
  <r>
    <x v="1"/>
    <x v="0"/>
    <x v="23"/>
    <n v="11595"/>
    <x v="0"/>
    <x v="0"/>
  </r>
  <r>
    <x v="1"/>
    <x v="0"/>
    <x v="24"/>
    <n v="11716"/>
    <x v="0"/>
    <x v="0"/>
  </r>
  <r>
    <x v="1"/>
    <x v="0"/>
    <x v="25"/>
    <n v="8342"/>
    <x v="0"/>
    <x v="0"/>
  </r>
  <r>
    <x v="1"/>
    <x v="0"/>
    <x v="26"/>
    <n v="4093"/>
    <x v="0"/>
    <x v="0"/>
  </r>
  <r>
    <x v="1"/>
    <x v="0"/>
    <x v="27"/>
    <n v="9021"/>
    <x v="0"/>
    <x v="0"/>
  </r>
  <r>
    <x v="1"/>
    <x v="0"/>
    <x v="28"/>
    <n v="21991"/>
    <x v="0"/>
    <x v="0"/>
  </r>
  <r>
    <x v="1"/>
    <x v="0"/>
    <x v="29"/>
    <n v="36271"/>
    <x v="0"/>
    <x v="0"/>
  </r>
  <r>
    <x v="1"/>
    <x v="0"/>
    <x v="30"/>
    <n v="41778"/>
    <x v="0"/>
    <x v="0"/>
  </r>
  <r>
    <x v="1"/>
    <x v="0"/>
    <x v="31"/>
    <n v="41393"/>
    <x v="0"/>
    <x v="0"/>
  </r>
  <r>
    <x v="1"/>
    <x v="0"/>
    <x v="32"/>
    <n v="11703"/>
    <x v="0"/>
    <x v="0"/>
  </r>
  <r>
    <x v="1"/>
    <x v="0"/>
    <x v="33"/>
    <n v="9654"/>
    <x v="0"/>
    <x v="0"/>
  </r>
  <r>
    <x v="1"/>
    <x v="0"/>
    <x v="34"/>
    <n v="7869"/>
    <x v="0"/>
    <x v="0"/>
  </r>
  <r>
    <x v="1"/>
    <x v="0"/>
    <x v="35"/>
    <n v="9553"/>
    <x v="0"/>
    <x v="0"/>
  </r>
  <r>
    <x v="1"/>
    <x v="0"/>
    <x v="36"/>
    <n v="9132"/>
    <x v="0"/>
    <x v="0"/>
  </r>
  <r>
    <x v="1"/>
    <x v="7"/>
    <x v="0"/>
    <n v="474"/>
    <x v="0"/>
    <x v="0"/>
  </r>
  <r>
    <x v="1"/>
    <x v="7"/>
    <x v="1"/>
    <n v="315"/>
    <x v="0"/>
    <x v="0"/>
  </r>
  <r>
    <x v="1"/>
    <x v="7"/>
    <x v="2"/>
    <n v="379"/>
    <x v="0"/>
    <x v="0"/>
  </r>
  <r>
    <x v="1"/>
    <x v="7"/>
    <x v="3"/>
    <n v="357"/>
    <x v="0"/>
    <x v="0"/>
  </r>
  <r>
    <x v="1"/>
    <x v="7"/>
    <x v="4"/>
    <n v="383"/>
    <x v="0"/>
    <x v="0"/>
  </r>
  <r>
    <x v="1"/>
    <x v="7"/>
    <x v="5"/>
    <n v="442"/>
    <x v="0"/>
    <x v="0"/>
  </r>
  <r>
    <x v="1"/>
    <x v="7"/>
    <x v="6"/>
    <n v="397"/>
    <x v="0"/>
    <x v="0"/>
  </r>
  <r>
    <x v="1"/>
    <x v="7"/>
    <x v="7"/>
    <n v="129"/>
    <x v="0"/>
    <x v="0"/>
  </r>
  <r>
    <x v="1"/>
    <x v="7"/>
    <x v="8"/>
    <n v="327"/>
    <x v="0"/>
    <x v="0"/>
  </r>
  <r>
    <x v="1"/>
    <x v="7"/>
    <x v="9"/>
    <n v="433"/>
    <x v="0"/>
    <x v="0"/>
  </r>
  <r>
    <x v="1"/>
    <x v="7"/>
    <x v="10"/>
    <n v="409"/>
    <x v="0"/>
    <x v="0"/>
  </r>
  <r>
    <x v="1"/>
    <x v="7"/>
    <x v="11"/>
    <n v="314"/>
    <x v="0"/>
    <x v="0"/>
  </r>
  <r>
    <x v="1"/>
    <x v="7"/>
    <x v="12"/>
    <n v="276"/>
    <x v="0"/>
    <x v="0"/>
  </r>
  <r>
    <x v="1"/>
    <x v="7"/>
    <x v="13"/>
    <n v="311"/>
    <x v="0"/>
    <x v="0"/>
  </r>
  <r>
    <x v="1"/>
    <x v="7"/>
    <x v="14"/>
    <n v="226"/>
    <x v="0"/>
    <x v="0"/>
  </r>
  <r>
    <x v="1"/>
    <x v="7"/>
    <x v="15"/>
    <n v="280"/>
    <x v="0"/>
    <x v="0"/>
  </r>
  <r>
    <x v="1"/>
    <x v="7"/>
    <x v="16"/>
    <n v="219"/>
    <x v="0"/>
    <x v="0"/>
  </r>
  <r>
    <x v="1"/>
    <x v="7"/>
    <x v="17"/>
    <n v="241"/>
    <x v="0"/>
    <x v="0"/>
  </r>
  <r>
    <x v="1"/>
    <x v="7"/>
    <x v="18"/>
    <n v="360"/>
    <x v="0"/>
    <x v="0"/>
  </r>
  <r>
    <x v="1"/>
    <x v="7"/>
    <x v="19"/>
    <n v="312"/>
    <x v="0"/>
    <x v="0"/>
  </r>
  <r>
    <x v="1"/>
    <x v="7"/>
    <x v="20"/>
    <n v="0"/>
    <x v="0"/>
    <x v="0"/>
  </r>
  <r>
    <x v="1"/>
    <x v="7"/>
    <x v="21"/>
    <n v="0"/>
    <x v="0"/>
    <x v="0"/>
  </r>
  <r>
    <x v="1"/>
    <x v="7"/>
    <x v="22"/>
    <n v="0"/>
    <x v="0"/>
    <x v="0"/>
  </r>
  <r>
    <x v="1"/>
    <x v="7"/>
    <x v="23"/>
    <n v="0"/>
    <x v="0"/>
    <x v="0"/>
  </r>
  <r>
    <x v="1"/>
    <x v="7"/>
    <x v="24"/>
    <n v="0"/>
    <x v="0"/>
    <x v="0"/>
  </r>
  <r>
    <x v="1"/>
    <x v="7"/>
    <x v="25"/>
    <n v="0"/>
    <x v="0"/>
    <x v="0"/>
  </r>
  <r>
    <x v="1"/>
    <x v="7"/>
    <x v="26"/>
    <n v="0"/>
    <x v="0"/>
    <x v="0"/>
  </r>
  <r>
    <x v="1"/>
    <x v="7"/>
    <x v="27"/>
    <n v="0"/>
    <x v="0"/>
    <x v="0"/>
  </r>
  <r>
    <x v="1"/>
    <x v="7"/>
    <x v="28"/>
    <n v="0"/>
    <x v="0"/>
    <x v="0"/>
  </r>
  <r>
    <x v="1"/>
    <x v="7"/>
    <x v="29"/>
    <n v="0"/>
    <x v="0"/>
    <x v="0"/>
  </r>
  <r>
    <x v="1"/>
    <x v="7"/>
    <x v="30"/>
    <n v="0"/>
    <x v="0"/>
    <x v="0"/>
  </r>
  <r>
    <x v="1"/>
    <x v="7"/>
    <x v="31"/>
    <n v="0"/>
    <x v="0"/>
    <x v="0"/>
  </r>
  <r>
    <x v="1"/>
    <x v="7"/>
    <x v="32"/>
    <n v="0"/>
    <x v="0"/>
    <x v="0"/>
  </r>
  <r>
    <x v="1"/>
    <x v="7"/>
    <x v="33"/>
    <n v="0"/>
    <x v="0"/>
    <x v="0"/>
  </r>
  <r>
    <x v="1"/>
    <x v="7"/>
    <x v="34"/>
    <n v="0"/>
    <x v="0"/>
    <x v="0"/>
  </r>
  <r>
    <x v="1"/>
    <x v="7"/>
    <x v="35"/>
    <n v="0"/>
    <x v="0"/>
    <x v="0"/>
  </r>
  <r>
    <x v="1"/>
    <x v="7"/>
    <x v="36"/>
    <n v="0"/>
    <x v="0"/>
    <x v="0"/>
  </r>
  <r>
    <x v="1"/>
    <x v="1"/>
    <x v="0"/>
    <n v="58529"/>
    <x v="7"/>
    <x v="0"/>
  </r>
  <r>
    <x v="1"/>
    <x v="1"/>
    <x v="1"/>
    <n v="65175"/>
    <x v="7"/>
    <x v="0"/>
  </r>
  <r>
    <x v="1"/>
    <x v="1"/>
    <x v="2"/>
    <n v="76526"/>
    <x v="7"/>
    <x v="0"/>
  </r>
  <r>
    <x v="1"/>
    <x v="1"/>
    <x v="3"/>
    <n v="69420"/>
    <x v="7"/>
    <x v="0"/>
  </r>
  <r>
    <x v="1"/>
    <x v="1"/>
    <x v="4"/>
    <n v="57466"/>
    <x v="7"/>
    <x v="0"/>
  </r>
  <r>
    <x v="1"/>
    <x v="1"/>
    <x v="5"/>
    <n v="83384"/>
    <x v="7"/>
    <x v="0"/>
  </r>
  <r>
    <x v="1"/>
    <x v="1"/>
    <x v="6"/>
    <n v="92219"/>
    <x v="7"/>
    <x v="0"/>
  </r>
  <r>
    <x v="1"/>
    <x v="1"/>
    <x v="7"/>
    <n v="88392"/>
    <x v="7"/>
    <x v="0"/>
  </r>
  <r>
    <x v="1"/>
    <x v="1"/>
    <x v="8"/>
    <n v="73382"/>
    <x v="7"/>
    <x v="0"/>
  </r>
  <r>
    <x v="1"/>
    <x v="1"/>
    <x v="9"/>
    <n v="88804"/>
    <x v="7"/>
    <x v="0"/>
  </r>
  <r>
    <x v="1"/>
    <x v="1"/>
    <x v="10"/>
    <n v="101480"/>
    <x v="7"/>
    <x v="0"/>
  </r>
  <r>
    <x v="1"/>
    <x v="1"/>
    <x v="11"/>
    <n v="91173"/>
    <x v="7"/>
    <x v="0"/>
  </r>
  <r>
    <x v="1"/>
    <x v="1"/>
    <x v="12"/>
    <n v="83643"/>
    <x v="7"/>
    <x v="0"/>
  </r>
  <r>
    <x v="1"/>
    <x v="1"/>
    <x v="13"/>
    <n v="121921"/>
    <x v="7"/>
    <x v="0"/>
  </r>
  <r>
    <x v="1"/>
    <x v="1"/>
    <x v="14"/>
    <n v="125305"/>
    <x v="7"/>
    <x v="0"/>
  </r>
  <r>
    <x v="1"/>
    <x v="1"/>
    <x v="15"/>
    <n v="116165"/>
    <x v="7"/>
    <x v="0"/>
  </r>
  <r>
    <x v="1"/>
    <x v="1"/>
    <x v="16"/>
    <n v="116635"/>
    <x v="7"/>
    <x v="0"/>
  </r>
  <r>
    <x v="1"/>
    <x v="1"/>
    <x v="17"/>
    <n v="112434"/>
    <x v="7"/>
    <x v="0"/>
  </r>
  <r>
    <x v="1"/>
    <x v="1"/>
    <x v="18"/>
    <n v="126284"/>
    <x v="7"/>
    <x v="0"/>
  </r>
  <r>
    <x v="1"/>
    <x v="1"/>
    <x v="19"/>
    <n v="126047"/>
    <x v="7"/>
    <x v="0"/>
  </r>
  <r>
    <x v="1"/>
    <x v="1"/>
    <x v="20"/>
    <n v="102155"/>
    <x v="7"/>
    <x v="0"/>
  </r>
  <r>
    <x v="1"/>
    <x v="1"/>
    <x v="21"/>
    <n v="141521"/>
    <x v="7"/>
    <x v="0"/>
  </r>
  <r>
    <x v="1"/>
    <x v="1"/>
    <x v="22"/>
    <n v="145411"/>
    <x v="7"/>
    <x v="0"/>
  </r>
  <r>
    <x v="1"/>
    <x v="1"/>
    <x v="23"/>
    <n v="132217"/>
    <x v="7"/>
    <x v="0"/>
  </r>
  <r>
    <x v="1"/>
    <x v="1"/>
    <x v="24"/>
    <n v="117168"/>
    <x v="7"/>
    <x v="0"/>
  </r>
  <r>
    <x v="1"/>
    <x v="1"/>
    <x v="25"/>
    <n v="171953"/>
    <x v="7"/>
    <x v="0"/>
  </r>
  <r>
    <x v="1"/>
    <x v="1"/>
    <x v="26"/>
    <n v="118041"/>
    <x v="7"/>
    <x v="0"/>
  </r>
  <r>
    <x v="1"/>
    <x v="1"/>
    <x v="27"/>
    <n v="158293"/>
    <x v="7"/>
    <x v="0"/>
  </r>
  <r>
    <x v="1"/>
    <x v="1"/>
    <x v="28"/>
    <n v="106747"/>
    <x v="7"/>
    <x v="0"/>
  </r>
  <r>
    <x v="1"/>
    <x v="1"/>
    <x v="29"/>
    <n v="117622"/>
    <x v="7"/>
    <x v="0"/>
  </r>
  <r>
    <x v="1"/>
    <x v="1"/>
    <x v="30"/>
    <n v="128130"/>
    <x v="7"/>
    <x v="0"/>
  </r>
  <r>
    <x v="1"/>
    <x v="1"/>
    <x v="31"/>
    <n v="125892"/>
    <x v="7"/>
    <x v="0"/>
  </r>
  <r>
    <x v="1"/>
    <x v="1"/>
    <x v="32"/>
    <n v="92379"/>
    <x v="7"/>
    <x v="0"/>
  </r>
  <r>
    <x v="1"/>
    <x v="1"/>
    <x v="33"/>
    <n v="116245"/>
    <x v="7"/>
    <x v="0"/>
  </r>
  <r>
    <x v="1"/>
    <x v="1"/>
    <x v="34"/>
    <n v="134129"/>
    <x v="7"/>
    <x v="0"/>
  </r>
  <r>
    <x v="1"/>
    <x v="1"/>
    <x v="35"/>
    <n v="123899"/>
    <x v="7"/>
    <x v="0"/>
  </r>
  <r>
    <x v="1"/>
    <x v="1"/>
    <x v="36"/>
    <n v="76654"/>
    <x v="7"/>
    <x v="0"/>
  </r>
  <r>
    <x v="1"/>
    <x v="8"/>
    <x v="0"/>
    <n v="230"/>
    <x v="7"/>
    <x v="4"/>
  </r>
  <r>
    <x v="1"/>
    <x v="8"/>
    <x v="1"/>
    <n v="998"/>
    <x v="7"/>
    <x v="4"/>
  </r>
  <r>
    <x v="1"/>
    <x v="8"/>
    <x v="2"/>
    <n v="102"/>
    <x v="7"/>
    <x v="4"/>
  </r>
  <r>
    <x v="1"/>
    <x v="8"/>
    <x v="3"/>
    <n v="495"/>
    <x v="7"/>
    <x v="4"/>
  </r>
  <r>
    <x v="1"/>
    <x v="8"/>
    <x v="4"/>
    <n v="322"/>
    <x v="7"/>
    <x v="4"/>
  </r>
  <r>
    <x v="1"/>
    <x v="8"/>
    <x v="5"/>
    <n v="690"/>
    <x v="7"/>
    <x v="4"/>
  </r>
  <r>
    <x v="1"/>
    <x v="8"/>
    <x v="6"/>
    <n v="489"/>
    <x v="7"/>
    <x v="4"/>
  </r>
  <r>
    <x v="1"/>
    <x v="8"/>
    <x v="7"/>
    <n v="418"/>
    <x v="7"/>
    <x v="4"/>
  </r>
  <r>
    <x v="1"/>
    <x v="8"/>
    <x v="8"/>
    <n v="625"/>
    <x v="7"/>
    <x v="4"/>
  </r>
  <r>
    <x v="1"/>
    <x v="8"/>
    <x v="9"/>
    <n v="1068"/>
    <x v="7"/>
    <x v="4"/>
  </r>
  <r>
    <x v="1"/>
    <x v="8"/>
    <x v="10"/>
    <n v="626"/>
    <x v="7"/>
    <x v="4"/>
  </r>
  <r>
    <x v="1"/>
    <x v="8"/>
    <x v="11"/>
    <n v="1089"/>
    <x v="7"/>
    <x v="4"/>
  </r>
  <r>
    <x v="1"/>
    <x v="8"/>
    <x v="12"/>
    <n v="2324"/>
    <x v="7"/>
    <x v="4"/>
  </r>
  <r>
    <x v="1"/>
    <x v="8"/>
    <x v="13"/>
    <n v="1374"/>
    <x v="7"/>
    <x v="4"/>
  </r>
  <r>
    <x v="1"/>
    <x v="8"/>
    <x v="14"/>
    <n v="1316"/>
    <x v="7"/>
    <x v="4"/>
  </r>
  <r>
    <x v="1"/>
    <x v="8"/>
    <x v="15"/>
    <n v="201"/>
    <x v="7"/>
    <x v="4"/>
  </r>
  <r>
    <x v="1"/>
    <x v="8"/>
    <x v="16"/>
    <n v="411"/>
    <x v="7"/>
    <x v="4"/>
  </r>
  <r>
    <x v="1"/>
    <x v="8"/>
    <x v="17"/>
    <n v="179"/>
    <x v="7"/>
    <x v="4"/>
  </r>
  <r>
    <x v="1"/>
    <x v="8"/>
    <x v="18"/>
    <n v="1553"/>
    <x v="7"/>
    <x v="4"/>
  </r>
  <r>
    <x v="1"/>
    <x v="8"/>
    <x v="19"/>
    <n v="2354"/>
    <x v="7"/>
    <x v="4"/>
  </r>
  <r>
    <x v="1"/>
    <x v="8"/>
    <x v="20"/>
    <n v="262"/>
    <x v="7"/>
    <x v="4"/>
  </r>
  <r>
    <x v="1"/>
    <x v="8"/>
    <x v="21"/>
    <n v="313"/>
    <x v="7"/>
    <x v="4"/>
  </r>
  <r>
    <x v="1"/>
    <x v="8"/>
    <x v="22"/>
    <n v="109"/>
    <x v="7"/>
    <x v="4"/>
  </r>
  <r>
    <x v="1"/>
    <x v="8"/>
    <x v="23"/>
    <n v="25"/>
    <x v="7"/>
    <x v="4"/>
  </r>
  <r>
    <x v="1"/>
    <x v="8"/>
    <x v="24"/>
    <n v="67"/>
    <x v="7"/>
    <x v="4"/>
  </r>
  <r>
    <x v="1"/>
    <x v="8"/>
    <x v="25"/>
    <n v="84"/>
    <x v="7"/>
    <x v="4"/>
  </r>
  <r>
    <x v="1"/>
    <x v="8"/>
    <x v="26"/>
    <n v="99"/>
    <x v="7"/>
    <x v="4"/>
  </r>
  <r>
    <x v="1"/>
    <x v="8"/>
    <x v="27"/>
    <n v="2"/>
    <x v="7"/>
    <x v="4"/>
  </r>
  <r>
    <x v="1"/>
    <x v="8"/>
    <x v="28"/>
    <n v="647"/>
    <x v="7"/>
    <x v="4"/>
  </r>
  <r>
    <x v="1"/>
    <x v="8"/>
    <x v="29"/>
    <n v="1"/>
    <x v="7"/>
    <x v="4"/>
  </r>
  <r>
    <x v="1"/>
    <x v="8"/>
    <x v="30"/>
    <n v="256"/>
    <x v="7"/>
    <x v="4"/>
  </r>
  <r>
    <x v="1"/>
    <x v="8"/>
    <x v="31"/>
    <n v="229"/>
    <x v="7"/>
    <x v="4"/>
  </r>
  <r>
    <x v="1"/>
    <x v="8"/>
    <x v="32"/>
    <n v="1055"/>
    <x v="7"/>
    <x v="4"/>
  </r>
  <r>
    <x v="1"/>
    <x v="8"/>
    <x v="33"/>
    <n v="2047"/>
    <x v="7"/>
    <x v="4"/>
  </r>
  <r>
    <x v="1"/>
    <x v="8"/>
    <x v="34"/>
    <n v="461"/>
    <x v="7"/>
    <x v="4"/>
  </r>
  <r>
    <x v="1"/>
    <x v="8"/>
    <x v="35"/>
    <n v="1"/>
    <x v="7"/>
    <x v="4"/>
  </r>
  <r>
    <x v="1"/>
    <x v="8"/>
    <x v="36"/>
    <n v="1427"/>
    <x v="7"/>
    <x v="4"/>
  </r>
  <r>
    <x v="1"/>
    <x v="9"/>
    <x v="0"/>
    <n v="0"/>
    <x v="7"/>
    <x v="4"/>
  </r>
  <r>
    <x v="1"/>
    <x v="9"/>
    <x v="1"/>
    <n v="0"/>
    <x v="7"/>
    <x v="4"/>
  </r>
  <r>
    <x v="1"/>
    <x v="9"/>
    <x v="2"/>
    <n v="0"/>
    <x v="7"/>
    <x v="4"/>
  </r>
  <r>
    <x v="1"/>
    <x v="9"/>
    <x v="3"/>
    <n v="0"/>
    <x v="7"/>
    <x v="4"/>
  </r>
  <r>
    <x v="1"/>
    <x v="9"/>
    <x v="4"/>
    <n v="0"/>
    <x v="7"/>
    <x v="4"/>
  </r>
  <r>
    <x v="1"/>
    <x v="9"/>
    <x v="5"/>
    <n v="0"/>
    <x v="7"/>
    <x v="4"/>
  </r>
  <r>
    <x v="1"/>
    <x v="9"/>
    <x v="6"/>
    <n v="0"/>
    <x v="7"/>
    <x v="4"/>
  </r>
  <r>
    <x v="1"/>
    <x v="9"/>
    <x v="7"/>
    <n v="0"/>
    <x v="7"/>
    <x v="4"/>
  </r>
  <r>
    <x v="1"/>
    <x v="9"/>
    <x v="8"/>
    <n v="0"/>
    <x v="7"/>
    <x v="4"/>
  </r>
  <r>
    <x v="1"/>
    <x v="9"/>
    <x v="9"/>
    <n v="12"/>
    <x v="7"/>
    <x v="4"/>
  </r>
  <r>
    <x v="1"/>
    <x v="9"/>
    <x v="10"/>
    <n v="0"/>
    <x v="7"/>
    <x v="4"/>
  </r>
  <r>
    <x v="1"/>
    <x v="9"/>
    <x v="11"/>
    <n v="0"/>
    <x v="7"/>
    <x v="4"/>
  </r>
  <r>
    <x v="1"/>
    <x v="9"/>
    <x v="12"/>
    <n v="0"/>
    <x v="7"/>
    <x v="4"/>
  </r>
  <r>
    <x v="1"/>
    <x v="9"/>
    <x v="13"/>
    <n v="0"/>
    <x v="7"/>
    <x v="4"/>
  </r>
  <r>
    <x v="1"/>
    <x v="9"/>
    <x v="14"/>
    <n v="0"/>
    <x v="7"/>
    <x v="4"/>
  </r>
  <r>
    <x v="1"/>
    <x v="9"/>
    <x v="15"/>
    <n v="0"/>
    <x v="7"/>
    <x v="4"/>
  </r>
  <r>
    <x v="1"/>
    <x v="9"/>
    <x v="16"/>
    <n v="21"/>
    <x v="7"/>
    <x v="4"/>
  </r>
  <r>
    <x v="1"/>
    <x v="9"/>
    <x v="17"/>
    <n v="0"/>
    <x v="7"/>
    <x v="4"/>
  </r>
  <r>
    <x v="1"/>
    <x v="9"/>
    <x v="18"/>
    <n v="0"/>
    <x v="7"/>
    <x v="4"/>
  </r>
  <r>
    <x v="1"/>
    <x v="9"/>
    <x v="19"/>
    <n v="5"/>
    <x v="7"/>
    <x v="4"/>
  </r>
  <r>
    <x v="1"/>
    <x v="9"/>
    <x v="20"/>
    <n v="0"/>
    <x v="7"/>
    <x v="4"/>
  </r>
  <r>
    <x v="1"/>
    <x v="9"/>
    <x v="21"/>
    <n v="0"/>
    <x v="7"/>
    <x v="4"/>
  </r>
  <r>
    <x v="1"/>
    <x v="9"/>
    <x v="22"/>
    <n v="0"/>
    <x v="7"/>
    <x v="4"/>
  </r>
  <r>
    <x v="1"/>
    <x v="9"/>
    <x v="23"/>
    <n v="0"/>
    <x v="7"/>
    <x v="4"/>
  </r>
  <r>
    <x v="1"/>
    <x v="9"/>
    <x v="24"/>
    <n v="0"/>
    <x v="7"/>
    <x v="4"/>
  </r>
  <r>
    <x v="1"/>
    <x v="9"/>
    <x v="25"/>
    <n v="0"/>
    <x v="7"/>
    <x v="4"/>
  </r>
  <r>
    <x v="1"/>
    <x v="9"/>
    <x v="26"/>
    <n v="1"/>
    <x v="7"/>
    <x v="4"/>
  </r>
  <r>
    <x v="1"/>
    <x v="9"/>
    <x v="27"/>
    <n v="11"/>
    <x v="7"/>
    <x v="4"/>
  </r>
  <r>
    <x v="1"/>
    <x v="9"/>
    <x v="28"/>
    <n v="0"/>
    <x v="7"/>
    <x v="4"/>
  </r>
  <r>
    <x v="1"/>
    <x v="9"/>
    <x v="29"/>
    <n v="0"/>
    <x v="7"/>
    <x v="4"/>
  </r>
  <r>
    <x v="1"/>
    <x v="9"/>
    <x v="30"/>
    <n v="0"/>
    <x v="7"/>
    <x v="4"/>
  </r>
  <r>
    <x v="1"/>
    <x v="9"/>
    <x v="31"/>
    <n v="0"/>
    <x v="7"/>
    <x v="4"/>
  </r>
  <r>
    <x v="1"/>
    <x v="9"/>
    <x v="32"/>
    <n v="0"/>
    <x v="7"/>
    <x v="4"/>
  </r>
  <r>
    <x v="1"/>
    <x v="9"/>
    <x v="33"/>
    <n v="0"/>
    <x v="7"/>
    <x v="4"/>
  </r>
  <r>
    <x v="1"/>
    <x v="9"/>
    <x v="34"/>
    <n v="0"/>
    <x v="7"/>
    <x v="4"/>
  </r>
  <r>
    <x v="1"/>
    <x v="9"/>
    <x v="35"/>
    <n v="0"/>
    <x v="7"/>
    <x v="4"/>
  </r>
  <r>
    <x v="1"/>
    <x v="9"/>
    <x v="36"/>
    <n v="0"/>
    <x v="7"/>
    <x v="4"/>
  </r>
  <r>
    <x v="1"/>
    <x v="10"/>
    <x v="0"/>
    <n v="129"/>
    <x v="7"/>
    <x v="4"/>
  </r>
  <r>
    <x v="1"/>
    <x v="10"/>
    <x v="1"/>
    <n v="185"/>
    <x v="7"/>
    <x v="4"/>
  </r>
  <r>
    <x v="1"/>
    <x v="10"/>
    <x v="2"/>
    <n v="213"/>
    <x v="7"/>
    <x v="4"/>
  </r>
  <r>
    <x v="1"/>
    <x v="10"/>
    <x v="3"/>
    <n v="100"/>
    <x v="7"/>
    <x v="4"/>
  </r>
  <r>
    <x v="1"/>
    <x v="10"/>
    <x v="4"/>
    <n v="158"/>
    <x v="7"/>
    <x v="4"/>
  </r>
  <r>
    <x v="1"/>
    <x v="10"/>
    <x v="5"/>
    <n v="311"/>
    <x v="7"/>
    <x v="4"/>
  </r>
  <r>
    <x v="1"/>
    <x v="10"/>
    <x v="6"/>
    <n v="306"/>
    <x v="7"/>
    <x v="4"/>
  </r>
  <r>
    <x v="1"/>
    <x v="10"/>
    <x v="7"/>
    <n v="214"/>
    <x v="7"/>
    <x v="4"/>
  </r>
  <r>
    <x v="1"/>
    <x v="10"/>
    <x v="8"/>
    <n v="562"/>
    <x v="7"/>
    <x v="4"/>
  </r>
  <r>
    <x v="1"/>
    <x v="10"/>
    <x v="9"/>
    <n v="870"/>
    <x v="7"/>
    <x v="4"/>
  </r>
  <r>
    <x v="1"/>
    <x v="10"/>
    <x v="10"/>
    <n v="1053"/>
    <x v="7"/>
    <x v="4"/>
  </r>
  <r>
    <x v="1"/>
    <x v="10"/>
    <x v="11"/>
    <n v="1046"/>
    <x v="7"/>
    <x v="4"/>
  </r>
  <r>
    <x v="1"/>
    <x v="10"/>
    <x v="12"/>
    <n v="18"/>
    <x v="7"/>
    <x v="4"/>
  </r>
  <r>
    <x v="1"/>
    <x v="10"/>
    <x v="13"/>
    <n v="219"/>
    <x v="7"/>
    <x v="4"/>
  </r>
  <r>
    <x v="1"/>
    <x v="10"/>
    <x v="14"/>
    <n v="132"/>
    <x v="7"/>
    <x v="4"/>
  </r>
  <r>
    <x v="1"/>
    <x v="10"/>
    <x v="15"/>
    <n v="106"/>
    <x v="7"/>
    <x v="4"/>
  </r>
  <r>
    <x v="1"/>
    <x v="10"/>
    <x v="16"/>
    <n v="610"/>
    <x v="7"/>
    <x v="4"/>
  </r>
  <r>
    <x v="1"/>
    <x v="10"/>
    <x v="17"/>
    <n v="498"/>
    <x v="7"/>
    <x v="4"/>
  </r>
  <r>
    <x v="1"/>
    <x v="10"/>
    <x v="18"/>
    <n v="740"/>
    <x v="7"/>
    <x v="4"/>
  </r>
  <r>
    <x v="1"/>
    <x v="10"/>
    <x v="19"/>
    <n v="607"/>
    <x v="7"/>
    <x v="4"/>
  </r>
  <r>
    <x v="1"/>
    <x v="10"/>
    <x v="20"/>
    <n v="1658"/>
    <x v="7"/>
    <x v="4"/>
  </r>
  <r>
    <x v="1"/>
    <x v="10"/>
    <x v="21"/>
    <n v="1653"/>
    <x v="7"/>
    <x v="4"/>
  </r>
  <r>
    <x v="1"/>
    <x v="10"/>
    <x v="22"/>
    <n v="1719"/>
    <x v="7"/>
    <x v="4"/>
  </r>
  <r>
    <x v="1"/>
    <x v="10"/>
    <x v="23"/>
    <n v="1485"/>
    <x v="7"/>
    <x v="4"/>
  </r>
  <r>
    <x v="1"/>
    <x v="10"/>
    <x v="24"/>
    <n v="2302"/>
    <x v="7"/>
    <x v="4"/>
  </r>
  <r>
    <x v="1"/>
    <x v="10"/>
    <x v="25"/>
    <n v="1967"/>
    <x v="7"/>
    <x v="4"/>
  </r>
  <r>
    <x v="1"/>
    <x v="10"/>
    <x v="26"/>
    <n v="3627"/>
    <x v="7"/>
    <x v="4"/>
  </r>
  <r>
    <x v="1"/>
    <x v="10"/>
    <x v="27"/>
    <n v="3427"/>
    <x v="7"/>
    <x v="4"/>
  </r>
  <r>
    <x v="1"/>
    <x v="10"/>
    <x v="28"/>
    <n v="5844"/>
    <x v="7"/>
    <x v="4"/>
  </r>
  <r>
    <x v="1"/>
    <x v="10"/>
    <x v="29"/>
    <n v="6137"/>
    <x v="7"/>
    <x v="4"/>
  </r>
  <r>
    <x v="1"/>
    <x v="10"/>
    <x v="30"/>
    <n v="7844"/>
    <x v="7"/>
    <x v="4"/>
  </r>
  <r>
    <x v="1"/>
    <x v="10"/>
    <x v="31"/>
    <n v="7479"/>
    <x v="7"/>
    <x v="4"/>
  </r>
  <r>
    <x v="1"/>
    <x v="10"/>
    <x v="32"/>
    <n v="8775"/>
    <x v="7"/>
    <x v="4"/>
  </r>
  <r>
    <x v="1"/>
    <x v="10"/>
    <x v="33"/>
    <n v="11663"/>
    <x v="7"/>
    <x v="4"/>
  </r>
  <r>
    <x v="1"/>
    <x v="10"/>
    <x v="34"/>
    <n v="14363"/>
    <x v="7"/>
    <x v="4"/>
  </r>
  <r>
    <x v="1"/>
    <x v="10"/>
    <x v="35"/>
    <n v="11219"/>
    <x v="7"/>
    <x v="4"/>
  </r>
  <r>
    <x v="1"/>
    <x v="10"/>
    <x v="36"/>
    <n v="11786"/>
    <x v="7"/>
    <x v="4"/>
  </r>
  <r>
    <x v="1"/>
    <x v="2"/>
    <x v="0"/>
    <n v="0"/>
    <x v="7"/>
    <x v="0"/>
  </r>
  <r>
    <x v="1"/>
    <x v="2"/>
    <x v="1"/>
    <n v="0"/>
    <x v="7"/>
    <x v="0"/>
  </r>
  <r>
    <x v="1"/>
    <x v="2"/>
    <x v="2"/>
    <n v="0"/>
    <x v="7"/>
    <x v="0"/>
  </r>
  <r>
    <x v="1"/>
    <x v="2"/>
    <x v="3"/>
    <n v="0"/>
    <x v="7"/>
    <x v="0"/>
  </r>
  <r>
    <x v="1"/>
    <x v="2"/>
    <x v="4"/>
    <n v="0"/>
    <x v="7"/>
    <x v="0"/>
  </r>
  <r>
    <x v="1"/>
    <x v="2"/>
    <x v="5"/>
    <n v="0"/>
    <x v="7"/>
    <x v="0"/>
  </r>
  <r>
    <x v="1"/>
    <x v="2"/>
    <x v="6"/>
    <n v="0"/>
    <x v="7"/>
    <x v="0"/>
  </r>
  <r>
    <x v="1"/>
    <x v="2"/>
    <x v="7"/>
    <n v="2863"/>
    <x v="7"/>
    <x v="0"/>
  </r>
  <r>
    <x v="1"/>
    <x v="2"/>
    <x v="8"/>
    <n v="1967"/>
    <x v="7"/>
    <x v="0"/>
  </r>
  <r>
    <x v="1"/>
    <x v="2"/>
    <x v="9"/>
    <n v="1637"/>
    <x v="7"/>
    <x v="0"/>
  </r>
  <r>
    <x v="1"/>
    <x v="2"/>
    <x v="10"/>
    <n v="1800"/>
    <x v="7"/>
    <x v="0"/>
  </r>
  <r>
    <x v="1"/>
    <x v="2"/>
    <x v="11"/>
    <n v="4035"/>
    <x v="7"/>
    <x v="0"/>
  </r>
  <r>
    <x v="1"/>
    <x v="2"/>
    <x v="12"/>
    <n v="907"/>
    <x v="7"/>
    <x v="0"/>
  </r>
  <r>
    <x v="1"/>
    <x v="2"/>
    <x v="13"/>
    <n v="3104"/>
    <x v="7"/>
    <x v="0"/>
  </r>
  <r>
    <x v="1"/>
    <x v="2"/>
    <x v="14"/>
    <n v="98814"/>
    <x v="7"/>
    <x v="0"/>
  </r>
  <r>
    <x v="1"/>
    <x v="2"/>
    <x v="15"/>
    <n v="38390"/>
    <x v="7"/>
    <x v="0"/>
  </r>
  <r>
    <x v="1"/>
    <x v="2"/>
    <x v="16"/>
    <n v="64363"/>
    <x v="7"/>
    <x v="0"/>
  </r>
  <r>
    <x v="1"/>
    <x v="2"/>
    <x v="17"/>
    <n v="53776"/>
    <x v="7"/>
    <x v="0"/>
  </r>
  <r>
    <x v="1"/>
    <x v="2"/>
    <x v="18"/>
    <n v="1167"/>
    <x v="7"/>
    <x v="0"/>
  </r>
  <r>
    <x v="1"/>
    <x v="2"/>
    <x v="19"/>
    <n v="29176"/>
    <x v="7"/>
    <x v="0"/>
  </r>
  <r>
    <x v="1"/>
    <x v="2"/>
    <x v="20"/>
    <n v="43741"/>
    <x v="7"/>
    <x v="0"/>
  </r>
  <r>
    <x v="1"/>
    <x v="2"/>
    <x v="21"/>
    <n v="41085"/>
    <x v="7"/>
    <x v="0"/>
  </r>
  <r>
    <x v="1"/>
    <x v="2"/>
    <x v="22"/>
    <n v="20232"/>
    <x v="7"/>
    <x v="0"/>
  </r>
  <r>
    <x v="1"/>
    <x v="2"/>
    <x v="23"/>
    <n v="27700"/>
    <x v="7"/>
    <x v="0"/>
  </r>
  <r>
    <x v="1"/>
    <x v="2"/>
    <x v="24"/>
    <n v="94699"/>
    <x v="7"/>
    <x v="0"/>
  </r>
  <r>
    <x v="1"/>
    <x v="2"/>
    <x v="25"/>
    <n v="43478"/>
    <x v="7"/>
    <x v="0"/>
  </r>
  <r>
    <x v="1"/>
    <x v="2"/>
    <x v="26"/>
    <n v="112313"/>
    <x v="7"/>
    <x v="0"/>
  </r>
  <r>
    <x v="1"/>
    <x v="2"/>
    <x v="27"/>
    <n v="124452"/>
    <x v="7"/>
    <x v="0"/>
  </r>
  <r>
    <x v="1"/>
    <x v="2"/>
    <x v="28"/>
    <n v="142285"/>
    <x v="7"/>
    <x v="0"/>
  </r>
  <r>
    <x v="1"/>
    <x v="2"/>
    <x v="29"/>
    <n v="243068"/>
    <x v="7"/>
    <x v="0"/>
  </r>
  <r>
    <x v="1"/>
    <x v="2"/>
    <x v="30"/>
    <n v="321734"/>
    <x v="7"/>
    <x v="0"/>
  </r>
  <r>
    <x v="1"/>
    <x v="2"/>
    <x v="31"/>
    <n v="353021"/>
    <x v="7"/>
    <x v="0"/>
  </r>
  <r>
    <x v="1"/>
    <x v="2"/>
    <x v="32"/>
    <n v="493791"/>
    <x v="7"/>
    <x v="0"/>
  </r>
  <r>
    <x v="1"/>
    <x v="2"/>
    <x v="33"/>
    <n v="391355"/>
    <x v="7"/>
    <x v="0"/>
  </r>
  <r>
    <x v="1"/>
    <x v="2"/>
    <x v="34"/>
    <n v="296882"/>
    <x v="7"/>
    <x v="0"/>
  </r>
  <r>
    <x v="1"/>
    <x v="2"/>
    <x v="35"/>
    <n v="214592"/>
    <x v="7"/>
    <x v="0"/>
  </r>
  <r>
    <x v="1"/>
    <x v="2"/>
    <x v="36"/>
    <n v="202251"/>
    <x v="7"/>
    <x v="0"/>
  </r>
  <r>
    <x v="1"/>
    <x v="11"/>
    <x v="0"/>
    <n v="0"/>
    <x v="3"/>
    <x v="0"/>
  </r>
  <r>
    <x v="1"/>
    <x v="11"/>
    <x v="1"/>
    <n v="0"/>
    <x v="3"/>
    <x v="0"/>
  </r>
  <r>
    <x v="1"/>
    <x v="11"/>
    <x v="2"/>
    <n v="0"/>
    <x v="3"/>
    <x v="0"/>
  </r>
  <r>
    <x v="1"/>
    <x v="11"/>
    <x v="3"/>
    <n v="0"/>
    <x v="3"/>
    <x v="0"/>
  </r>
  <r>
    <x v="1"/>
    <x v="11"/>
    <x v="4"/>
    <n v="0"/>
    <x v="3"/>
    <x v="0"/>
  </r>
  <r>
    <x v="1"/>
    <x v="11"/>
    <x v="5"/>
    <n v="0"/>
    <x v="3"/>
    <x v="0"/>
  </r>
  <r>
    <x v="1"/>
    <x v="11"/>
    <x v="6"/>
    <n v="0"/>
    <x v="3"/>
    <x v="0"/>
  </r>
  <r>
    <x v="1"/>
    <x v="11"/>
    <x v="7"/>
    <n v="0"/>
    <x v="3"/>
    <x v="0"/>
  </r>
  <r>
    <x v="1"/>
    <x v="11"/>
    <x v="8"/>
    <n v="4288"/>
    <x v="3"/>
    <x v="0"/>
  </r>
  <r>
    <x v="1"/>
    <x v="11"/>
    <x v="9"/>
    <n v="4206"/>
    <x v="3"/>
    <x v="0"/>
  </r>
  <r>
    <x v="1"/>
    <x v="11"/>
    <x v="10"/>
    <n v="4382"/>
    <x v="3"/>
    <x v="0"/>
  </r>
  <r>
    <x v="1"/>
    <x v="11"/>
    <x v="11"/>
    <n v="4313"/>
    <x v="3"/>
    <x v="0"/>
  </r>
  <r>
    <x v="1"/>
    <x v="11"/>
    <x v="12"/>
    <n v="4347"/>
    <x v="3"/>
    <x v="0"/>
  </r>
  <r>
    <x v="1"/>
    <x v="11"/>
    <x v="13"/>
    <n v="4179"/>
    <x v="3"/>
    <x v="0"/>
  </r>
  <r>
    <x v="1"/>
    <x v="11"/>
    <x v="14"/>
    <n v="4216"/>
    <x v="3"/>
    <x v="0"/>
  </r>
  <r>
    <x v="1"/>
    <x v="11"/>
    <x v="15"/>
    <n v="4383"/>
    <x v="3"/>
    <x v="0"/>
  </r>
  <r>
    <x v="1"/>
    <x v="11"/>
    <x v="16"/>
    <n v="4224"/>
    <x v="3"/>
    <x v="0"/>
  </r>
  <r>
    <x v="1"/>
    <x v="11"/>
    <x v="17"/>
    <n v="3535"/>
    <x v="3"/>
    <x v="0"/>
  </r>
  <r>
    <x v="1"/>
    <x v="11"/>
    <x v="18"/>
    <n v="3590"/>
    <x v="3"/>
    <x v="0"/>
  </r>
  <r>
    <x v="1"/>
    <x v="11"/>
    <x v="19"/>
    <n v="3802"/>
    <x v="3"/>
    <x v="0"/>
  </r>
  <r>
    <x v="1"/>
    <x v="11"/>
    <x v="20"/>
    <n v="2904"/>
    <x v="3"/>
    <x v="0"/>
  </r>
  <r>
    <x v="1"/>
    <x v="11"/>
    <x v="21"/>
    <n v="3044"/>
    <x v="3"/>
    <x v="0"/>
  </r>
  <r>
    <x v="1"/>
    <x v="11"/>
    <x v="22"/>
    <n v="5692"/>
    <x v="3"/>
    <x v="0"/>
  </r>
  <r>
    <x v="1"/>
    <x v="11"/>
    <x v="23"/>
    <n v="5514"/>
    <x v="3"/>
    <x v="0"/>
  </r>
  <r>
    <x v="1"/>
    <x v="11"/>
    <x v="24"/>
    <n v="3707"/>
    <x v="3"/>
    <x v="0"/>
  </r>
  <r>
    <x v="1"/>
    <x v="11"/>
    <x v="25"/>
    <n v="5381"/>
    <x v="3"/>
    <x v="0"/>
  </r>
  <r>
    <x v="1"/>
    <x v="11"/>
    <x v="26"/>
    <n v="5213"/>
    <x v="3"/>
    <x v="0"/>
  </r>
  <r>
    <x v="1"/>
    <x v="11"/>
    <x v="27"/>
    <n v="5329"/>
    <x v="3"/>
    <x v="0"/>
  </r>
  <r>
    <x v="1"/>
    <x v="11"/>
    <x v="28"/>
    <n v="5483"/>
    <x v="3"/>
    <x v="0"/>
  </r>
  <r>
    <x v="1"/>
    <x v="11"/>
    <x v="29"/>
    <n v="5437"/>
    <x v="3"/>
    <x v="0"/>
  </r>
  <r>
    <x v="1"/>
    <x v="11"/>
    <x v="30"/>
    <n v="5042"/>
    <x v="3"/>
    <x v="0"/>
  </r>
  <r>
    <x v="1"/>
    <x v="11"/>
    <x v="31"/>
    <n v="6199"/>
    <x v="3"/>
    <x v="0"/>
  </r>
  <r>
    <x v="1"/>
    <x v="11"/>
    <x v="32"/>
    <n v="4488"/>
    <x v="3"/>
    <x v="0"/>
  </r>
  <r>
    <x v="1"/>
    <x v="11"/>
    <x v="33"/>
    <n v="4814"/>
    <x v="3"/>
    <x v="0"/>
  </r>
  <r>
    <x v="1"/>
    <x v="11"/>
    <x v="34"/>
    <n v="5418"/>
    <x v="3"/>
    <x v="0"/>
  </r>
  <r>
    <x v="1"/>
    <x v="11"/>
    <x v="35"/>
    <n v="6449"/>
    <x v="3"/>
    <x v="0"/>
  </r>
  <r>
    <x v="1"/>
    <x v="11"/>
    <x v="36"/>
    <n v="5435"/>
    <x v="3"/>
    <x v="0"/>
  </r>
  <r>
    <x v="1"/>
    <x v="12"/>
    <x v="0"/>
    <n v="0"/>
    <x v="3"/>
    <x v="0"/>
  </r>
  <r>
    <x v="1"/>
    <x v="12"/>
    <x v="1"/>
    <n v="0"/>
    <x v="3"/>
    <x v="0"/>
  </r>
  <r>
    <x v="1"/>
    <x v="12"/>
    <x v="2"/>
    <n v="0"/>
    <x v="3"/>
    <x v="0"/>
  </r>
  <r>
    <x v="1"/>
    <x v="12"/>
    <x v="3"/>
    <n v="0"/>
    <x v="3"/>
    <x v="0"/>
  </r>
  <r>
    <x v="1"/>
    <x v="12"/>
    <x v="4"/>
    <n v="0"/>
    <x v="3"/>
    <x v="0"/>
  </r>
  <r>
    <x v="1"/>
    <x v="12"/>
    <x v="5"/>
    <n v="0"/>
    <x v="3"/>
    <x v="0"/>
  </r>
  <r>
    <x v="1"/>
    <x v="12"/>
    <x v="6"/>
    <n v="0"/>
    <x v="3"/>
    <x v="0"/>
  </r>
  <r>
    <x v="1"/>
    <x v="12"/>
    <x v="7"/>
    <n v="0"/>
    <x v="3"/>
    <x v="0"/>
  </r>
  <r>
    <x v="1"/>
    <x v="12"/>
    <x v="8"/>
    <n v="0"/>
    <x v="3"/>
    <x v="0"/>
  </r>
  <r>
    <x v="1"/>
    <x v="12"/>
    <x v="9"/>
    <n v="0"/>
    <x v="3"/>
    <x v="0"/>
  </r>
  <r>
    <x v="1"/>
    <x v="12"/>
    <x v="10"/>
    <n v="0"/>
    <x v="3"/>
    <x v="0"/>
  </r>
  <r>
    <x v="1"/>
    <x v="12"/>
    <x v="11"/>
    <n v="0"/>
    <x v="3"/>
    <x v="0"/>
  </r>
  <r>
    <x v="1"/>
    <x v="12"/>
    <x v="12"/>
    <n v="315"/>
    <x v="3"/>
    <x v="0"/>
  </r>
  <r>
    <x v="1"/>
    <x v="12"/>
    <x v="13"/>
    <n v="577"/>
    <x v="3"/>
    <x v="0"/>
  </r>
  <r>
    <x v="1"/>
    <x v="12"/>
    <x v="14"/>
    <n v="1571"/>
    <x v="3"/>
    <x v="0"/>
  </r>
  <r>
    <x v="1"/>
    <x v="12"/>
    <x v="15"/>
    <n v="1715"/>
    <x v="3"/>
    <x v="0"/>
  </r>
  <r>
    <x v="1"/>
    <x v="12"/>
    <x v="16"/>
    <n v="2165"/>
    <x v="3"/>
    <x v="0"/>
  </r>
  <r>
    <x v="1"/>
    <x v="12"/>
    <x v="17"/>
    <n v="2908"/>
    <x v="3"/>
    <x v="0"/>
  </r>
  <r>
    <x v="1"/>
    <x v="12"/>
    <x v="18"/>
    <n v="4221"/>
    <x v="3"/>
    <x v="0"/>
  </r>
  <r>
    <x v="1"/>
    <x v="12"/>
    <x v="19"/>
    <n v="4760"/>
    <x v="3"/>
    <x v="0"/>
  </r>
  <r>
    <x v="1"/>
    <x v="12"/>
    <x v="20"/>
    <n v="15328"/>
    <x v="3"/>
    <x v="0"/>
  </r>
  <r>
    <x v="1"/>
    <x v="12"/>
    <x v="21"/>
    <n v="20430"/>
    <x v="3"/>
    <x v="0"/>
  </r>
  <r>
    <x v="1"/>
    <x v="12"/>
    <x v="22"/>
    <n v="23188"/>
    <x v="3"/>
    <x v="0"/>
  </r>
  <r>
    <x v="1"/>
    <x v="12"/>
    <x v="23"/>
    <n v="24736"/>
    <x v="3"/>
    <x v="0"/>
  </r>
  <r>
    <x v="1"/>
    <x v="12"/>
    <x v="24"/>
    <n v="27027"/>
    <x v="3"/>
    <x v="0"/>
  </r>
  <r>
    <x v="1"/>
    <x v="12"/>
    <x v="25"/>
    <n v="28745"/>
    <x v="3"/>
    <x v="0"/>
  </r>
  <r>
    <x v="1"/>
    <x v="12"/>
    <x v="26"/>
    <n v="32077"/>
    <x v="3"/>
    <x v="0"/>
  </r>
  <r>
    <x v="1"/>
    <x v="12"/>
    <x v="27"/>
    <n v="31817"/>
    <x v="3"/>
    <x v="0"/>
  </r>
  <r>
    <x v="1"/>
    <x v="12"/>
    <x v="28"/>
    <n v="7009"/>
    <x v="3"/>
    <x v="0"/>
  </r>
  <r>
    <x v="1"/>
    <x v="12"/>
    <x v="29"/>
    <n v="11099"/>
    <x v="3"/>
    <x v="0"/>
  </r>
  <r>
    <x v="1"/>
    <x v="12"/>
    <x v="30"/>
    <n v="11071"/>
    <x v="3"/>
    <x v="0"/>
  </r>
  <r>
    <x v="1"/>
    <x v="12"/>
    <x v="31"/>
    <n v="2721"/>
    <x v="3"/>
    <x v="0"/>
  </r>
  <r>
    <x v="1"/>
    <x v="12"/>
    <x v="32"/>
    <n v="2618"/>
    <x v="3"/>
    <x v="0"/>
  </r>
  <r>
    <x v="1"/>
    <x v="12"/>
    <x v="33"/>
    <n v="2597"/>
    <x v="3"/>
    <x v="0"/>
  </r>
  <r>
    <x v="1"/>
    <x v="12"/>
    <x v="34"/>
    <n v="2977"/>
    <x v="3"/>
    <x v="0"/>
  </r>
  <r>
    <x v="1"/>
    <x v="12"/>
    <x v="35"/>
    <n v="3322"/>
    <x v="3"/>
    <x v="0"/>
  </r>
  <r>
    <x v="1"/>
    <x v="12"/>
    <x v="36"/>
    <n v="2537"/>
    <x v="3"/>
    <x v="0"/>
  </r>
  <r>
    <x v="1"/>
    <x v="13"/>
    <x v="0"/>
    <n v="0"/>
    <x v="3"/>
    <x v="0"/>
  </r>
  <r>
    <x v="1"/>
    <x v="13"/>
    <x v="1"/>
    <n v="0"/>
    <x v="3"/>
    <x v="0"/>
  </r>
  <r>
    <x v="1"/>
    <x v="13"/>
    <x v="2"/>
    <n v="0"/>
    <x v="3"/>
    <x v="0"/>
  </r>
  <r>
    <x v="1"/>
    <x v="13"/>
    <x v="3"/>
    <n v="0"/>
    <x v="3"/>
    <x v="0"/>
  </r>
  <r>
    <x v="1"/>
    <x v="13"/>
    <x v="4"/>
    <n v="0"/>
    <x v="3"/>
    <x v="0"/>
  </r>
  <r>
    <x v="1"/>
    <x v="13"/>
    <x v="5"/>
    <n v="0"/>
    <x v="3"/>
    <x v="0"/>
  </r>
  <r>
    <x v="1"/>
    <x v="13"/>
    <x v="6"/>
    <n v="0"/>
    <x v="3"/>
    <x v="0"/>
  </r>
  <r>
    <x v="1"/>
    <x v="13"/>
    <x v="7"/>
    <n v="0"/>
    <x v="3"/>
    <x v="0"/>
  </r>
  <r>
    <x v="1"/>
    <x v="13"/>
    <x v="8"/>
    <n v="0"/>
    <x v="3"/>
    <x v="0"/>
  </r>
  <r>
    <x v="1"/>
    <x v="13"/>
    <x v="9"/>
    <n v="0"/>
    <x v="3"/>
    <x v="0"/>
  </r>
  <r>
    <x v="1"/>
    <x v="13"/>
    <x v="10"/>
    <n v="0"/>
    <x v="3"/>
    <x v="0"/>
  </r>
  <r>
    <x v="1"/>
    <x v="13"/>
    <x v="11"/>
    <n v="0"/>
    <x v="3"/>
    <x v="0"/>
  </r>
  <r>
    <x v="1"/>
    <x v="13"/>
    <x v="12"/>
    <n v="0"/>
    <x v="3"/>
    <x v="0"/>
  </r>
  <r>
    <x v="1"/>
    <x v="13"/>
    <x v="13"/>
    <n v="0"/>
    <x v="3"/>
    <x v="0"/>
  </r>
  <r>
    <x v="1"/>
    <x v="13"/>
    <x v="14"/>
    <n v="0"/>
    <x v="3"/>
    <x v="0"/>
  </r>
  <r>
    <x v="1"/>
    <x v="13"/>
    <x v="15"/>
    <n v="0"/>
    <x v="3"/>
    <x v="0"/>
  </r>
  <r>
    <x v="1"/>
    <x v="13"/>
    <x v="16"/>
    <n v="2"/>
    <x v="3"/>
    <x v="0"/>
  </r>
  <r>
    <x v="1"/>
    <x v="13"/>
    <x v="17"/>
    <n v="16"/>
    <x v="3"/>
    <x v="0"/>
  </r>
  <r>
    <x v="1"/>
    <x v="13"/>
    <x v="18"/>
    <n v="24"/>
    <x v="3"/>
    <x v="0"/>
  </r>
  <r>
    <x v="1"/>
    <x v="13"/>
    <x v="19"/>
    <n v="17"/>
    <x v="3"/>
    <x v="0"/>
  </r>
  <r>
    <x v="1"/>
    <x v="13"/>
    <x v="20"/>
    <n v="160"/>
    <x v="3"/>
    <x v="0"/>
  </r>
  <r>
    <x v="1"/>
    <x v="13"/>
    <x v="21"/>
    <n v="4811"/>
    <x v="3"/>
    <x v="0"/>
  </r>
  <r>
    <x v="1"/>
    <x v="13"/>
    <x v="22"/>
    <n v="3569"/>
    <x v="3"/>
    <x v="0"/>
  </r>
  <r>
    <x v="1"/>
    <x v="13"/>
    <x v="23"/>
    <n v="5847"/>
    <x v="3"/>
    <x v="0"/>
  </r>
  <r>
    <x v="1"/>
    <x v="13"/>
    <x v="24"/>
    <n v="7267"/>
    <x v="3"/>
    <x v="0"/>
  </r>
  <r>
    <x v="1"/>
    <x v="13"/>
    <x v="25"/>
    <n v="5771"/>
    <x v="3"/>
    <x v="0"/>
  </r>
  <r>
    <x v="1"/>
    <x v="13"/>
    <x v="26"/>
    <n v="5627"/>
    <x v="3"/>
    <x v="0"/>
  </r>
  <r>
    <x v="1"/>
    <x v="13"/>
    <x v="27"/>
    <n v="9567"/>
    <x v="3"/>
    <x v="0"/>
  </r>
  <r>
    <x v="1"/>
    <x v="13"/>
    <x v="28"/>
    <n v="8429"/>
    <x v="3"/>
    <x v="0"/>
  </r>
  <r>
    <x v="1"/>
    <x v="13"/>
    <x v="29"/>
    <n v="19524"/>
    <x v="3"/>
    <x v="0"/>
  </r>
  <r>
    <x v="1"/>
    <x v="13"/>
    <x v="30"/>
    <n v="13997"/>
    <x v="3"/>
    <x v="0"/>
  </r>
  <r>
    <x v="1"/>
    <x v="13"/>
    <x v="31"/>
    <n v="21511"/>
    <x v="3"/>
    <x v="0"/>
  </r>
  <r>
    <x v="1"/>
    <x v="13"/>
    <x v="32"/>
    <n v="7761"/>
    <x v="3"/>
    <x v="0"/>
  </r>
  <r>
    <x v="1"/>
    <x v="13"/>
    <x v="33"/>
    <n v="8971"/>
    <x v="3"/>
    <x v="0"/>
  </r>
  <r>
    <x v="1"/>
    <x v="13"/>
    <x v="34"/>
    <n v="11065"/>
    <x v="3"/>
    <x v="0"/>
  </r>
  <r>
    <x v="1"/>
    <x v="13"/>
    <x v="35"/>
    <n v="11480"/>
    <x v="3"/>
    <x v="0"/>
  </r>
  <r>
    <x v="1"/>
    <x v="13"/>
    <x v="36"/>
    <n v="11807"/>
    <x v="3"/>
    <x v="0"/>
  </r>
  <r>
    <x v="1"/>
    <x v="14"/>
    <x v="0"/>
    <n v="321"/>
    <x v="3"/>
    <x v="0"/>
  </r>
  <r>
    <x v="1"/>
    <x v="14"/>
    <x v="1"/>
    <n v="500"/>
    <x v="3"/>
    <x v="0"/>
  </r>
  <r>
    <x v="1"/>
    <x v="14"/>
    <x v="2"/>
    <n v="684"/>
    <x v="3"/>
    <x v="0"/>
  </r>
  <r>
    <x v="1"/>
    <x v="14"/>
    <x v="3"/>
    <n v="640"/>
    <x v="3"/>
    <x v="0"/>
  </r>
  <r>
    <x v="1"/>
    <x v="14"/>
    <x v="4"/>
    <n v="649"/>
    <x v="3"/>
    <x v="0"/>
  </r>
  <r>
    <x v="1"/>
    <x v="14"/>
    <x v="5"/>
    <n v="822"/>
    <x v="3"/>
    <x v="0"/>
  </r>
  <r>
    <x v="1"/>
    <x v="14"/>
    <x v="6"/>
    <n v="1095"/>
    <x v="3"/>
    <x v="0"/>
  </r>
  <r>
    <x v="1"/>
    <x v="14"/>
    <x v="7"/>
    <n v="946"/>
    <x v="3"/>
    <x v="0"/>
  </r>
  <r>
    <x v="1"/>
    <x v="14"/>
    <x v="8"/>
    <n v="539"/>
    <x v="3"/>
    <x v="0"/>
  </r>
  <r>
    <x v="1"/>
    <x v="14"/>
    <x v="9"/>
    <n v="761"/>
    <x v="3"/>
    <x v="0"/>
  </r>
  <r>
    <x v="1"/>
    <x v="14"/>
    <x v="10"/>
    <n v="968"/>
    <x v="3"/>
    <x v="0"/>
  </r>
  <r>
    <x v="1"/>
    <x v="14"/>
    <x v="11"/>
    <n v="1214"/>
    <x v="3"/>
    <x v="0"/>
  </r>
  <r>
    <x v="1"/>
    <x v="14"/>
    <x v="12"/>
    <n v="1187"/>
    <x v="3"/>
    <x v="0"/>
  </r>
  <r>
    <x v="1"/>
    <x v="14"/>
    <x v="13"/>
    <n v="1500"/>
    <x v="3"/>
    <x v="0"/>
  </r>
  <r>
    <x v="1"/>
    <x v="14"/>
    <x v="14"/>
    <n v="1965"/>
    <x v="3"/>
    <x v="0"/>
  </r>
  <r>
    <x v="1"/>
    <x v="14"/>
    <x v="15"/>
    <n v="1940"/>
    <x v="3"/>
    <x v="0"/>
  </r>
  <r>
    <x v="1"/>
    <x v="14"/>
    <x v="16"/>
    <n v="1529"/>
    <x v="3"/>
    <x v="0"/>
  </r>
  <r>
    <x v="1"/>
    <x v="14"/>
    <x v="17"/>
    <n v="1032"/>
    <x v="3"/>
    <x v="0"/>
  </r>
  <r>
    <x v="1"/>
    <x v="14"/>
    <x v="18"/>
    <n v="1952"/>
    <x v="3"/>
    <x v="0"/>
  </r>
  <r>
    <x v="1"/>
    <x v="14"/>
    <x v="19"/>
    <n v="1818"/>
    <x v="3"/>
    <x v="0"/>
  </r>
  <r>
    <x v="1"/>
    <x v="14"/>
    <x v="20"/>
    <n v="1759"/>
    <x v="3"/>
    <x v="0"/>
  </r>
  <r>
    <x v="1"/>
    <x v="14"/>
    <x v="21"/>
    <n v="2687"/>
    <x v="3"/>
    <x v="0"/>
  </r>
  <r>
    <x v="1"/>
    <x v="14"/>
    <x v="22"/>
    <n v="5360"/>
    <x v="3"/>
    <x v="0"/>
  </r>
  <r>
    <x v="1"/>
    <x v="14"/>
    <x v="23"/>
    <n v="5498"/>
    <x v="3"/>
    <x v="0"/>
  </r>
  <r>
    <x v="1"/>
    <x v="14"/>
    <x v="24"/>
    <n v="5423"/>
    <x v="3"/>
    <x v="0"/>
  </r>
  <r>
    <x v="1"/>
    <x v="14"/>
    <x v="25"/>
    <n v="7831"/>
    <x v="3"/>
    <x v="0"/>
  </r>
  <r>
    <x v="1"/>
    <x v="14"/>
    <x v="26"/>
    <n v="10139"/>
    <x v="3"/>
    <x v="0"/>
  </r>
  <r>
    <x v="1"/>
    <x v="14"/>
    <x v="27"/>
    <n v="10164"/>
    <x v="3"/>
    <x v="0"/>
  </r>
  <r>
    <x v="1"/>
    <x v="14"/>
    <x v="28"/>
    <n v="8863"/>
    <x v="3"/>
    <x v="0"/>
  </r>
  <r>
    <x v="1"/>
    <x v="14"/>
    <x v="29"/>
    <n v="11728"/>
    <x v="3"/>
    <x v="0"/>
  </r>
  <r>
    <x v="1"/>
    <x v="14"/>
    <x v="30"/>
    <n v="16224"/>
    <x v="3"/>
    <x v="0"/>
  </r>
  <r>
    <x v="1"/>
    <x v="14"/>
    <x v="31"/>
    <n v="17057"/>
    <x v="3"/>
    <x v="0"/>
  </r>
  <r>
    <x v="1"/>
    <x v="14"/>
    <x v="32"/>
    <n v="14888"/>
    <x v="3"/>
    <x v="0"/>
  </r>
  <r>
    <x v="1"/>
    <x v="14"/>
    <x v="33"/>
    <n v="18699"/>
    <x v="3"/>
    <x v="0"/>
  </r>
  <r>
    <x v="1"/>
    <x v="14"/>
    <x v="34"/>
    <n v="23861"/>
    <x v="3"/>
    <x v="0"/>
  </r>
  <r>
    <x v="1"/>
    <x v="14"/>
    <x v="35"/>
    <n v="24388"/>
    <x v="3"/>
    <x v="0"/>
  </r>
  <r>
    <x v="1"/>
    <x v="14"/>
    <x v="36"/>
    <n v="23648"/>
    <x v="3"/>
    <x v="0"/>
  </r>
  <r>
    <x v="1"/>
    <x v="15"/>
    <x v="0"/>
    <n v="8573"/>
    <x v="3"/>
    <x v="0"/>
  </r>
  <r>
    <x v="1"/>
    <x v="15"/>
    <x v="1"/>
    <n v="8574"/>
    <x v="3"/>
    <x v="0"/>
  </r>
  <r>
    <x v="1"/>
    <x v="15"/>
    <x v="2"/>
    <n v="8573"/>
    <x v="3"/>
    <x v="0"/>
  </r>
  <r>
    <x v="1"/>
    <x v="15"/>
    <x v="3"/>
    <n v="8574"/>
    <x v="3"/>
    <x v="0"/>
  </r>
  <r>
    <x v="1"/>
    <x v="15"/>
    <x v="4"/>
    <n v="10301"/>
    <x v="3"/>
    <x v="0"/>
  </r>
  <r>
    <x v="1"/>
    <x v="15"/>
    <x v="5"/>
    <n v="10301"/>
    <x v="3"/>
    <x v="0"/>
  </r>
  <r>
    <x v="1"/>
    <x v="15"/>
    <x v="6"/>
    <n v="10301"/>
    <x v="3"/>
    <x v="0"/>
  </r>
  <r>
    <x v="1"/>
    <x v="15"/>
    <x v="7"/>
    <n v="10301"/>
    <x v="3"/>
    <x v="0"/>
  </r>
  <r>
    <x v="1"/>
    <x v="15"/>
    <x v="8"/>
    <n v="14222"/>
    <x v="3"/>
    <x v="0"/>
  </r>
  <r>
    <x v="1"/>
    <x v="15"/>
    <x v="9"/>
    <n v="14222"/>
    <x v="3"/>
    <x v="0"/>
  </r>
  <r>
    <x v="1"/>
    <x v="15"/>
    <x v="10"/>
    <n v="14223"/>
    <x v="3"/>
    <x v="0"/>
  </r>
  <r>
    <x v="1"/>
    <x v="15"/>
    <x v="11"/>
    <n v="14223"/>
    <x v="3"/>
    <x v="0"/>
  </r>
  <r>
    <x v="1"/>
    <x v="15"/>
    <x v="12"/>
    <n v="18317"/>
    <x v="3"/>
    <x v="0"/>
  </r>
  <r>
    <x v="1"/>
    <x v="15"/>
    <x v="13"/>
    <n v="18317"/>
    <x v="3"/>
    <x v="0"/>
  </r>
  <r>
    <x v="1"/>
    <x v="15"/>
    <x v="14"/>
    <n v="18318"/>
    <x v="3"/>
    <x v="0"/>
  </r>
  <r>
    <x v="1"/>
    <x v="15"/>
    <x v="15"/>
    <n v="18318"/>
    <x v="3"/>
    <x v="0"/>
  </r>
  <r>
    <x v="1"/>
    <x v="15"/>
    <x v="16"/>
    <n v="24872"/>
    <x v="3"/>
    <x v="0"/>
  </r>
  <r>
    <x v="1"/>
    <x v="15"/>
    <x v="17"/>
    <n v="24872"/>
    <x v="3"/>
    <x v="0"/>
  </r>
  <r>
    <x v="1"/>
    <x v="15"/>
    <x v="18"/>
    <n v="24872"/>
    <x v="3"/>
    <x v="0"/>
  </r>
  <r>
    <x v="1"/>
    <x v="15"/>
    <x v="19"/>
    <n v="24872"/>
    <x v="3"/>
    <x v="0"/>
  </r>
  <r>
    <x v="1"/>
    <x v="15"/>
    <x v="20"/>
    <n v="21286.5"/>
    <x v="3"/>
    <x v="0"/>
  </r>
  <r>
    <x v="1"/>
    <x v="15"/>
    <x v="21"/>
    <n v="21286.5"/>
    <x v="3"/>
    <x v="0"/>
  </r>
  <r>
    <x v="1"/>
    <x v="15"/>
    <x v="22"/>
    <n v="27644"/>
    <x v="3"/>
    <x v="0"/>
  </r>
  <r>
    <x v="1"/>
    <x v="15"/>
    <x v="23"/>
    <n v="27644"/>
    <x v="3"/>
    <x v="0"/>
  </r>
  <r>
    <x v="1"/>
    <x v="15"/>
    <x v="24"/>
    <n v="35125"/>
    <x v="3"/>
    <x v="0"/>
  </r>
  <r>
    <x v="1"/>
    <x v="15"/>
    <x v="25"/>
    <n v="35125"/>
    <x v="3"/>
    <x v="0"/>
  </r>
  <r>
    <x v="1"/>
    <x v="15"/>
    <x v="26"/>
    <n v="36053"/>
    <x v="3"/>
    <x v="0"/>
  </r>
  <r>
    <x v="1"/>
    <x v="15"/>
    <x v="27"/>
    <n v="36053"/>
    <x v="3"/>
    <x v="0"/>
  </r>
  <r>
    <x v="1"/>
    <x v="15"/>
    <x v="28"/>
    <n v="41362"/>
    <x v="3"/>
    <x v="0"/>
  </r>
  <r>
    <x v="1"/>
    <x v="15"/>
    <x v="29"/>
    <n v="41362"/>
    <x v="3"/>
    <x v="0"/>
  </r>
  <r>
    <x v="1"/>
    <x v="15"/>
    <x v="30"/>
    <n v="50261"/>
    <x v="3"/>
    <x v="0"/>
  </r>
  <r>
    <x v="1"/>
    <x v="15"/>
    <x v="31"/>
    <n v="50261"/>
    <x v="3"/>
    <x v="0"/>
  </r>
  <r>
    <x v="1"/>
    <x v="15"/>
    <x v="32"/>
    <n v="51959"/>
    <x v="3"/>
    <x v="0"/>
  </r>
  <r>
    <x v="1"/>
    <x v="15"/>
    <x v="33"/>
    <n v="51959"/>
    <x v="3"/>
    <x v="0"/>
  </r>
  <r>
    <x v="1"/>
    <x v="15"/>
    <x v="34"/>
    <n v="59437"/>
    <x v="3"/>
    <x v="0"/>
  </r>
  <r>
    <x v="1"/>
    <x v="15"/>
    <x v="35"/>
    <n v="59437"/>
    <x v="3"/>
    <x v="0"/>
  </r>
  <r>
    <x v="1"/>
    <x v="15"/>
    <x v="36"/>
    <n v="0"/>
    <x v="3"/>
    <x v="0"/>
  </r>
  <r>
    <x v="1"/>
    <x v="16"/>
    <x v="0"/>
    <n v="0"/>
    <x v="3"/>
    <x v="0"/>
  </r>
  <r>
    <x v="1"/>
    <x v="16"/>
    <x v="1"/>
    <n v="0"/>
    <x v="3"/>
    <x v="0"/>
  </r>
  <r>
    <x v="1"/>
    <x v="16"/>
    <x v="2"/>
    <n v="0"/>
    <x v="3"/>
    <x v="0"/>
  </r>
  <r>
    <x v="1"/>
    <x v="16"/>
    <x v="3"/>
    <n v="0"/>
    <x v="3"/>
    <x v="0"/>
  </r>
  <r>
    <x v="1"/>
    <x v="16"/>
    <x v="4"/>
    <n v="0"/>
    <x v="3"/>
    <x v="0"/>
  </r>
  <r>
    <x v="1"/>
    <x v="16"/>
    <x v="5"/>
    <n v="0"/>
    <x v="3"/>
    <x v="0"/>
  </r>
  <r>
    <x v="1"/>
    <x v="16"/>
    <x v="6"/>
    <n v="0"/>
    <x v="3"/>
    <x v="0"/>
  </r>
  <r>
    <x v="1"/>
    <x v="16"/>
    <x v="7"/>
    <n v="0"/>
    <x v="3"/>
    <x v="0"/>
  </r>
  <r>
    <x v="1"/>
    <x v="16"/>
    <x v="8"/>
    <n v="0"/>
    <x v="3"/>
    <x v="0"/>
  </r>
  <r>
    <x v="1"/>
    <x v="16"/>
    <x v="9"/>
    <n v="0"/>
    <x v="3"/>
    <x v="0"/>
  </r>
  <r>
    <x v="1"/>
    <x v="16"/>
    <x v="10"/>
    <n v="0"/>
    <x v="3"/>
    <x v="0"/>
  </r>
  <r>
    <x v="1"/>
    <x v="16"/>
    <x v="11"/>
    <n v="0"/>
    <x v="3"/>
    <x v="0"/>
  </r>
  <r>
    <x v="1"/>
    <x v="16"/>
    <x v="12"/>
    <n v="0"/>
    <x v="3"/>
    <x v="0"/>
  </r>
  <r>
    <x v="1"/>
    <x v="16"/>
    <x v="13"/>
    <n v="0"/>
    <x v="3"/>
    <x v="0"/>
  </r>
  <r>
    <x v="1"/>
    <x v="16"/>
    <x v="14"/>
    <n v="0"/>
    <x v="3"/>
    <x v="0"/>
  </r>
  <r>
    <x v="1"/>
    <x v="16"/>
    <x v="15"/>
    <n v="0"/>
    <x v="3"/>
    <x v="0"/>
  </r>
  <r>
    <x v="1"/>
    <x v="16"/>
    <x v="16"/>
    <n v="0"/>
    <x v="3"/>
    <x v="0"/>
  </r>
  <r>
    <x v="1"/>
    <x v="16"/>
    <x v="17"/>
    <n v="0"/>
    <x v="3"/>
    <x v="0"/>
  </r>
  <r>
    <x v="1"/>
    <x v="16"/>
    <x v="18"/>
    <n v="0"/>
    <x v="3"/>
    <x v="0"/>
  </r>
  <r>
    <x v="1"/>
    <x v="16"/>
    <x v="19"/>
    <n v="0"/>
    <x v="3"/>
    <x v="0"/>
  </r>
  <r>
    <x v="1"/>
    <x v="16"/>
    <x v="20"/>
    <n v="11709"/>
    <x v="3"/>
    <x v="0"/>
  </r>
  <r>
    <x v="1"/>
    <x v="16"/>
    <x v="21"/>
    <n v="11709"/>
    <x v="3"/>
    <x v="0"/>
  </r>
  <r>
    <x v="1"/>
    <x v="16"/>
    <x v="22"/>
    <n v="11709"/>
    <x v="3"/>
    <x v="0"/>
  </r>
  <r>
    <x v="1"/>
    <x v="16"/>
    <x v="23"/>
    <n v="11708"/>
    <x v="3"/>
    <x v="0"/>
  </r>
  <r>
    <x v="1"/>
    <x v="16"/>
    <x v="24"/>
    <n v="11277"/>
    <x v="3"/>
    <x v="0"/>
  </r>
  <r>
    <x v="1"/>
    <x v="16"/>
    <x v="25"/>
    <n v="11277"/>
    <x v="3"/>
    <x v="0"/>
  </r>
  <r>
    <x v="1"/>
    <x v="16"/>
    <x v="26"/>
    <n v="11277"/>
    <x v="3"/>
    <x v="0"/>
  </r>
  <r>
    <x v="1"/>
    <x v="16"/>
    <x v="27"/>
    <n v="11277"/>
    <x v="3"/>
    <x v="0"/>
  </r>
  <r>
    <x v="1"/>
    <x v="16"/>
    <x v="28"/>
    <n v="25344"/>
    <x v="3"/>
    <x v="0"/>
  </r>
  <r>
    <x v="1"/>
    <x v="16"/>
    <x v="29"/>
    <n v="25344"/>
    <x v="3"/>
    <x v="0"/>
  </r>
  <r>
    <x v="1"/>
    <x v="16"/>
    <x v="30"/>
    <n v="25344"/>
    <x v="3"/>
    <x v="0"/>
  </r>
  <r>
    <x v="1"/>
    <x v="16"/>
    <x v="31"/>
    <n v="25344"/>
    <x v="3"/>
    <x v="0"/>
  </r>
  <r>
    <x v="1"/>
    <x v="16"/>
    <x v="32"/>
    <n v="21484"/>
    <x v="3"/>
    <x v="0"/>
  </r>
  <r>
    <x v="1"/>
    <x v="16"/>
    <x v="33"/>
    <n v="21484"/>
    <x v="3"/>
    <x v="0"/>
  </r>
  <r>
    <x v="1"/>
    <x v="16"/>
    <x v="34"/>
    <n v="24512"/>
    <x v="3"/>
    <x v="0"/>
  </r>
  <r>
    <x v="1"/>
    <x v="16"/>
    <x v="35"/>
    <n v="24512"/>
    <x v="3"/>
    <x v="0"/>
  </r>
  <r>
    <x v="1"/>
    <x v="16"/>
    <x v="36"/>
    <n v="0"/>
    <x v="3"/>
    <x v="0"/>
  </r>
  <r>
    <x v="1"/>
    <x v="17"/>
    <x v="0"/>
    <n v="35773"/>
    <x v="4"/>
    <x v="0"/>
  </r>
  <r>
    <x v="1"/>
    <x v="17"/>
    <x v="1"/>
    <n v="40149"/>
    <x v="4"/>
    <x v="0"/>
  </r>
  <r>
    <x v="1"/>
    <x v="17"/>
    <x v="2"/>
    <n v="37633"/>
    <x v="4"/>
    <x v="0"/>
  </r>
  <r>
    <x v="1"/>
    <x v="17"/>
    <x v="3"/>
    <n v="37148"/>
    <x v="4"/>
    <x v="0"/>
  </r>
  <r>
    <x v="1"/>
    <x v="17"/>
    <x v="4"/>
    <n v="35320"/>
    <x v="4"/>
    <x v="0"/>
  </r>
  <r>
    <x v="1"/>
    <x v="17"/>
    <x v="5"/>
    <n v="41860"/>
    <x v="4"/>
    <x v="0"/>
  </r>
  <r>
    <x v="1"/>
    <x v="17"/>
    <x v="6"/>
    <n v="33280"/>
    <x v="4"/>
    <x v="0"/>
  </r>
  <r>
    <x v="1"/>
    <x v="17"/>
    <x v="7"/>
    <n v="32285"/>
    <x v="4"/>
    <x v="0"/>
  </r>
  <r>
    <x v="1"/>
    <x v="17"/>
    <x v="8"/>
    <n v="30356"/>
    <x v="4"/>
    <x v="0"/>
  </r>
  <r>
    <x v="1"/>
    <x v="17"/>
    <x v="9"/>
    <n v="31671"/>
    <x v="4"/>
    <x v="0"/>
  </r>
  <r>
    <x v="1"/>
    <x v="17"/>
    <x v="10"/>
    <n v="33147"/>
    <x v="4"/>
    <x v="0"/>
  </r>
  <r>
    <x v="1"/>
    <x v="17"/>
    <x v="11"/>
    <n v="35201"/>
    <x v="4"/>
    <x v="0"/>
  </r>
  <r>
    <x v="1"/>
    <x v="17"/>
    <x v="12"/>
    <n v="27189"/>
    <x v="4"/>
    <x v="0"/>
  </r>
  <r>
    <x v="1"/>
    <x v="17"/>
    <x v="13"/>
    <n v="34844"/>
    <x v="4"/>
    <x v="0"/>
  </r>
  <r>
    <x v="1"/>
    <x v="17"/>
    <x v="14"/>
    <n v="51580"/>
    <x v="4"/>
    <x v="0"/>
  </r>
  <r>
    <x v="1"/>
    <x v="17"/>
    <x v="15"/>
    <n v="55045"/>
    <x v="4"/>
    <x v="0"/>
  </r>
  <r>
    <x v="1"/>
    <x v="17"/>
    <x v="16"/>
    <n v="45329"/>
    <x v="4"/>
    <x v="0"/>
  </r>
  <r>
    <x v="1"/>
    <x v="17"/>
    <x v="17"/>
    <n v="47983"/>
    <x v="4"/>
    <x v="0"/>
  </r>
  <r>
    <x v="1"/>
    <x v="17"/>
    <x v="18"/>
    <n v="72658"/>
    <x v="4"/>
    <x v="0"/>
  </r>
  <r>
    <x v="1"/>
    <x v="17"/>
    <x v="19"/>
    <n v="98924"/>
    <x v="4"/>
    <x v="0"/>
  </r>
  <r>
    <x v="1"/>
    <x v="17"/>
    <x v="20"/>
    <n v="79493"/>
    <x v="4"/>
    <x v="0"/>
  </r>
  <r>
    <x v="1"/>
    <x v="17"/>
    <x v="21"/>
    <n v="120639"/>
    <x v="4"/>
    <x v="0"/>
  </r>
  <r>
    <x v="1"/>
    <x v="17"/>
    <x v="22"/>
    <n v="117834"/>
    <x v="4"/>
    <x v="0"/>
  </r>
  <r>
    <x v="1"/>
    <x v="17"/>
    <x v="23"/>
    <n v="98675"/>
    <x v="4"/>
    <x v="0"/>
  </r>
  <r>
    <x v="1"/>
    <x v="17"/>
    <x v="24"/>
    <n v="89264"/>
    <x v="4"/>
    <x v="0"/>
  </r>
  <r>
    <x v="1"/>
    <x v="17"/>
    <x v="25"/>
    <n v="106804"/>
    <x v="4"/>
    <x v="0"/>
  </r>
  <r>
    <x v="1"/>
    <x v="17"/>
    <x v="26"/>
    <n v="97059"/>
    <x v="4"/>
    <x v="0"/>
  </r>
  <r>
    <x v="1"/>
    <x v="17"/>
    <x v="27"/>
    <n v="98292"/>
    <x v="4"/>
    <x v="0"/>
  </r>
  <r>
    <x v="1"/>
    <x v="17"/>
    <x v="28"/>
    <n v="105211"/>
    <x v="4"/>
    <x v="0"/>
  </r>
  <r>
    <x v="1"/>
    <x v="17"/>
    <x v="29"/>
    <n v="108388"/>
    <x v="4"/>
    <x v="0"/>
  </r>
  <r>
    <x v="1"/>
    <x v="17"/>
    <x v="30"/>
    <n v="81079"/>
    <x v="4"/>
    <x v="0"/>
  </r>
  <r>
    <x v="1"/>
    <x v="17"/>
    <x v="31"/>
    <n v="94122"/>
    <x v="4"/>
    <x v="0"/>
  </r>
  <r>
    <x v="1"/>
    <x v="17"/>
    <x v="32"/>
    <n v="82595"/>
    <x v="4"/>
    <x v="0"/>
  </r>
  <r>
    <x v="1"/>
    <x v="17"/>
    <x v="33"/>
    <n v="122239"/>
    <x v="4"/>
    <x v="0"/>
  </r>
  <r>
    <x v="1"/>
    <x v="17"/>
    <x v="34"/>
    <n v="110327"/>
    <x v="4"/>
    <x v="0"/>
  </r>
  <r>
    <x v="1"/>
    <x v="17"/>
    <x v="35"/>
    <n v="115768"/>
    <x v="4"/>
    <x v="0"/>
  </r>
  <r>
    <x v="1"/>
    <x v="17"/>
    <x v="36"/>
    <n v="110992"/>
    <x v="4"/>
    <x v="0"/>
  </r>
  <r>
    <x v="1"/>
    <x v="18"/>
    <x v="0"/>
    <n v="2223"/>
    <x v="4"/>
    <x v="0"/>
  </r>
  <r>
    <x v="1"/>
    <x v="18"/>
    <x v="1"/>
    <n v="0"/>
    <x v="4"/>
    <x v="0"/>
  </r>
  <r>
    <x v="1"/>
    <x v="18"/>
    <x v="2"/>
    <n v="622"/>
    <x v="4"/>
    <x v="0"/>
  </r>
  <r>
    <x v="1"/>
    <x v="18"/>
    <x v="3"/>
    <n v="0"/>
    <x v="4"/>
    <x v="0"/>
  </r>
  <r>
    <x v="1"/>
    <x v="18"/>
    <x v="4"/>
    <n v="0"/>
    <x v="4"/>
    <x v="0"/>
  </r>
  <r>
    <x v="1"/>
    <x v="18"/>
    <x v="5"/>
    <n v="0"/>
    <x v="4"/>
    <x v="0"/>
  </r>
  <r>
    <x v="1"/>
    <x v="18"/>
    <x v="6"/>
    <n v="0"/>
    <x v="4"/>
    <x v="0"/>
  </r>
  <r>
    <x v="1"/>
    <x v="18"/>
    <x v="7"/>
    <n v="0"/>
    <x v="4"/>
    <x v="0"/>
  </r>
  <r>
    <x v="1"/>
    <x v="18"/>
    <x v="8"/>
    <n v="0"/>
    <x v="4"/>
    <x v="0"/>
  </r>
  <r>
    <x v="1"/>
    <x v="18"/>
    <x v="9"/>
    <n v="0"/>
    <x v="4"/>
    <x v="0"/>
  </r>
  <r>
    <x v="1"/>
    <x v="18"/>
    <x v="10"/>
    <n v="0"/>
    <x v="4"/>
    <x v="0"/>
  </r>
  <r>
    <x v="1"/>
    <x v="18"/>
    <x v="11"/>
    <n v="0"/>
    <x v="4"/>
    <x v="0"/>
  </r>
  <r>
    <x v="1"/>
    <x v="18"/>
    <x v="12"/>
    <n v="0"/>
    <x v="4"/>
    <x v="0"/>
  </r>
  <r>
    <x v="1"/>
    <x v="18"/>
    <x v="13"/>
    <n v="469"/>
    <x v="4"/>
    <x v="0"/>
  </r>
  <r>
    <x v="1"/>
    <x v="18"/>
    <x v="14"/>
    <n v="0"/>
    <x v="4"/>
    <x v="0"/>
  </r>
  <r>
    <x v="1"/>
    <x v="18"/>
    <x v="15"/>
    <n v="271"/>
    <x v="4"/>
    <x v="0"/>
  </r>
  <r>
    <x v="1"/>
    <x v="18"/>
    <x v="16"/>
    <n v="0"/>
    <x v="4"/>
    <x v="0"/>
  </r>
  <r>
    <x v="1"/>
    <x v="18"/>
    <x v="17"/>
    <n v="98"/>
    <x v="4"/>
    <x v="0"/>
  </r>
  <r>
    <x v="1"/>
    <x v="18"/>
    <x v="18"/>
    <n v="0"/>
    <x v="4"/>
    <x v="0"/>
  </r>
  <r>
    <x v="1"/>
    <x v="18"/>
    <x v="19"/>
    <n v="0"/>
    <x v="4"/>
    <x v="0"/>
  </r>
  <r>
    <x v="1"/>
    <x v="18"/>
    <x v="20"/>
    <n v="0"/>
    <x v="4"/>
    <x v="0"/>
  </r>
  <r>
    <x v="1"/>
    <x v="18"/>
    <x v="21"/>
    <n v="0"/>
    <x v="4"/>
    <x v="0"/>
  </r>
  <r>
    <x v="1"/>
    <x v="18"/>
    <x v="22"/>
    <n v="0"/>
    <x v="4"/>
    <x v="0"/>
  </r>
  <r>
    <x v="1"/>
    <x v="18"/>
    <x v="23"/>
    <n v="0"/>
    <x v="4"/>
    <x v="0"/>
  </r>
  <r>
    <x v="1"/>
    <x v="18"/>
    <x v="24"/>
    <n v="0"/>
    <x v="4"/>
    <x v="0"/>
  </r>
  <r>
    <x v="1"/>
    <x v="18"/>
    <x v="25"/>
    <n v="0"/>
    <x v="4"/>
    <x v="0"/>
  </r>
  <r>
    <x v="1"/>
    <x v="18"/>
    <x v="26"/>
    <n v="0"/>
    <x v="4"/>
    <x v="0"/>
  </r>
  <r>
    <x v="1"/>
    <x v="18"/>
    <x v="27"/>
    <n v="0"/>
    <x v="4"/>
    <x v="0"/>
  </r>
  <r>
    <x v="1"/>
    <x v="18"/>
    <x v="28"/>
    <n v="0"/>
    <x v="4"/>
    <x v="0"/>
  </r>
  <r>
    <x v="1"/>
    <x v="18"/>
    <x v="29"/>
    <n v="0"/>
    <x v="4"/>
    <x v="0"/>
  </r>
  <r>
    <x v="1"/>
    <x v="18"/>
    <x v="30"/>
    <n v="0"/>
    <x v="4"/>
    <x v="0"/>
  </r>
  <r>
    <x v="1"/>
    <x v="18"/>
    <x v="31"/>
    <n v="0"/>
    <x v="4"/>
    <x v="0"/>
  </r>
  <r>
    <x v="1"/>
    <x v="18"/>
    <x v="32"/>
    <n v="0"/>
    <x v="4"/>
    <x v="0"/>
  </r>
  <r>
    <x v="1"/>
    <x v="18"/>
    <x v="33"/>
    <n v="0"/>
    <x v="4"/>
    <x v="0"/>
  </r>
  <r>
    <x v="1"/>
    <x v="18"/>
    <x v="34"/>
    <n v="10"/>
    <x v="4"/>
    <x v="0"/>
  </r>
  <r>
    <x v="1"/>
    <x v="18"/>
    <x v="35"/>
    <n v="874"/>
    <x v="4"/>
    <x v="0"/>
  </r>
  <r>
    <x v="1"/>
    <x v="18"/>
    <x v="36"/>
    <n v="0"/>
    <x v="4"/>
    <x v="0"/>
  </r>
  <r>
    <x v="1"/>
    <x v="19"/>
    <x v="0"/>
    <n v="40263"/>
    <x v="4"/>
    <x v="0"/>
  </r>
  <r>
    <x v="1"/>
    <x v="19"/>
    <x v="1"/>
    <n v="40120"/>
    <x v="4"/>
    <x v="0"/>
  </r>
  <r>
    <x v="1"/>
    <x v="19"/>
    <x v="2"/>
    <n v="51501"/>
    <x v="4"/>
    <x v="0"/>
  </r>
  <r>
    <x v="1"/>
    <x v="19"/>
    <x v="3"/>
    <n v="36170"/>
    <x v="4"/>
    <x v="0"/>
  </r>
  <r>
    <x v="1"/>
    <x v="19"/>
    <x v="4"/>
    <n v="44266"/>
    <x v="4"/>
    <x v="0"/>
  </r>
  <r>
    <x v="1"/>
    <x v="19"/>
    <x v="5"/>
    <n v="52398"/>
    <x v="4"/>
    <x v="0"/>
  </r>
  <r>
    <x v="1"/>
    <x v="19"/>
    <x v="6"/>
    <n v="47958"/>
    <x v="4"/>
    <x v="0"/>
  </r>
  <r>
    <x v="1"/>
    <x v="19"/>
    <x v="7"/>
    <n v="70276"/>
    <x v="4"/>
    <x v="0"/>
  </r>
  <r>
    <x v="1"/>
    <x v="19"/>
    <x v="8"/>
    <n v="68913"/>
    <x v="4"/>
    <x v="0"/>
  </r>
  <r>
    <x v="1"/>
    <x v="19"/>
    <x v="9"/>
    <n v="73362"/>
    <x v="4"/>
    <x v="0"/>
  </r>
  <r>
    <x v="1"/>
    <x v="19"/>
    <x v="10"/>
    <n v="92640"/>
    <x v="4"/>
    <x v="0"/>
  </r>
  <r>
    <x v="1"/>
    <x v="19"/>
    <x v="11"/>
    <n v="95805"/>
    <x v="4"/>
    <x v="0"/>
  </r>
  <r>
    <x v="1"/>
    <x v="19"/>
    <x v="12"/>
    <n v="79909"/>
    <x v="4"/>
    <x v="0"/>
  </r>
  <r>
    <x v="1"/>
    <x v="19"/>
    <x v="13"/>
    <n v="88120"/>
    <x v="4"/>
    <x v="0"/>
  </r>
  <r>
    <x v="1"/>
    <x v="19"/>
    <x v="14"/>
    <n v="104296"/>
    <x v="4"/>
    <x v="0"/>
  </r>
  <r>
    <x v="1"/>
    <x v="19"/>
    <x v="15"/>
    <n v="89853"/>
    <x v="4"/>
    <x v="0"/>
  </r>
  <r>
    <x v="1"/>
    <x v="19"/>
    <x v="16"/>
    <n v="79069"/>
    <x v="4"/>
    <x v="0"/>
  </r>
  <r>
    <x v="1"/>
    <x v="19"/>
    <x v="17"/>
    <n v="59772"/>
    <x v="4"/>
    <x v="0"/>
  </r>
  <r>
    <x v="1"/>
    <x v="19"/>
    <x v="18"/>
    <n v="73079"/>
    <x v="4"/>
    <x v="0"/>
  </r>
  <r>
    <x v="1"/>
    <x v="19"/>
    <x v="19"/>
    <n v="29552"/>
    <x v="4"/>
    <x v="0"/>
  </r>
  <r>
    <x v="1"/>
    <x v="19"/>
    <x v="20"/>
    <n v="30850"/>
    <x v="4"/>
    <x v="0"/>
  </r>
  <r>
    <x v="1"/>
    <x v="19"/>
    <x v="21"/>
    <n v="30190"/>
    <x v="4"/>
    <x v="0"/>
  </r>
  <r>
    <x v="1"/>
    <x v="19"/>
    <x v="22"/>
    <n v="38072"/>
    <x v="4"/>
    <x v="0"/>
  </r>
  <r>
    <x v="1"/>
    <x v="19"/>
    <x v="23"/>
    <n v="34197"/>
    <x v="4"/>
    <x v="0"/>
  </r>
  <r>
    <x v="1"/>
    <x v="19"/>
    <x v="24"/>
    <n v="32146"/>
    <x v="4"/>
    <x v="0"/>
  </r>
  <r>
    <x v="1"/>
    <x v="19"/>
    <x v="25"/>
    <n v="31059"/>
    <x v="4"/>
    <x v="0"/>
  </r>
  <r>
    <x v="1"/>
    <x v="19"/>
    <x v="26"/>
    <n v="45351"/>
    <x v="4"/>
    <x v="0"/>
  </r>
  <r>
    <x v="1"/>
    <x v="19"/>
    <x v="27"/>
    <n v="23470"/>
    <x v="4"/>
    <x v="0"/>
  </r>
  <r>
    <x v="1"/>
    <x v="19"/>
    <x v="28"/>
    <n v="29497"/>
    <x v="4"/>
    <x v="0"/>
  </r>
  <r>
    <x v="1"/>
    <x v="19"/>
    <x v="29"/>
    <n v="32327"/>
    <x v="4"/>
    <x v="0"/>
  </r>
  <r>
    <x v="1"/>
    <x v="19"/>
    <x v="30"/>
    <n v="49751"/>
    <x v="4"/>
    <x v="0"/>
  </r>
  <r>
    <x v="1"/>
    <x v="19"/>
    <x v="31"/>
    <n v="47602"/>
    <x v="4"/>
    <x v="0"/>
  </r>
  <r>
    <x v="1"/>
    <x v="19"/>
    <x v="32"/>
    <n v="33238"/>
    <x v="4"/>
    <x v="0"/>
  </r>
  <r>
    <x v="1"/>
    <x v="19"/>
    <x v="33"/>
    <n v="23352"/>
    <x v="4"/>
    <x v="0"/>
  </r>
  <r>
    <x v="1"/>
    <x v="19"/>
    <x v="34"/>
    <n v="42885"/>
    <x v="4"/>
    <x v="0"/>
  </r>
  <r>
    <x v="1"/>
    <x v="19"/>
    <x v="35"/>
    <n v="24941"/>
    <x v="4"/>
    <x v="0"/>
  </r>
  <r>
    <x v="1"/>
    <x v="19"/>
    <x v="36"/>
    <n v="18333"/>
    <x v="4"/>
    <x v="0"/>
  </r>
  <r>
    <x v="1"/>
    <x v="20"/>
    <x v="0"/>
    <n v="60400"/>
    <x v="4"/>
    <x v="0"/>
  </r>
  <r>
    <x v="1"/>
    <x v="20"/>
    <x v="1"/>
    <n v="42330"/>
    <x v="4"/>
    <x v="0"/>
  </r>
  <r>
    <x v="1"/>
    <x v="20"/>
    <x v="2"/>
    <n v="51234"/>
    <x v="4"/>
    <x v="0"/>
  </r>
  <r>
    <x v="1"/>
    <x v="20"/>
    <x v="3"/>
    <n v="38364"/>
    <x v="4"/>
    <x v="0"/>
  </r>
  <r>
    <x v="1"/>
    <x v="20"/>
    <x v="4"/>
    <n v="41545"/>
    <x v="4"/>
    <x v="0"/>
  </r>
  <r>
    <x v="1"/>
    <x v="20"/>
    <x v="5"/>
    <n v="36241"/>
    <x v="4"/>
    <x v="0"/>
  </r>
  <r>
    <x v="1"/>
    <x v="20"/>
    <x v="6"/>
    <n v="65353"/>
    <x v="4"/>
    <x v="0"/>
  </r>
  <r>
    <x v="1"/>
    <x v="20"/>
    <x v="7"/>
    <n v="39825"/>
    <x v="4"/>
    <x v="0"/>
  </r>
  <r>
    <x v="1"/>
    <x v="20"/>
    <x v="8"/>
    <n v="21805"/>
    <x v="4"/>
    <x v="0"/>
  </r>
  <r>
    <x v="1"/>
    <x v="20"/>
    <x v="9"/>
    <n v="11729"/>
    <x v="4"/>
    <x v="0"/>
  </r>
  <r>
    <x v="1"/>
    <x v="20"/>
    <x v="10"/>
    <n v="14563"/>
    <x v="4"/>
    <x v="0"/>
  </r>
  <r>
    <x v="1"/>
    <x v="20"/>
    <x v="11"/>
    <n v="6624"/>
    <x v="4"/>
    <x v="0"/>
  </r>
  <r>
    <x v="1"/>
    <x v="20"/>
    <x v="12"/>
    <n v="6067"/>
    <x v="4"/>
    <x v="0"/>
  </r>
  <r>
    <x v="1"/>
    <x v="20"/>
    <x v="13"/>
    <n v="13083"/>
    <x v="4"/>
    <x v="0"/>
  </r>
  <r>
    <x v="1"/>
    <x v="20"/>
    <x v="14"/>
    <n v="2282"/>
    <x v="4"/>
    <x v="0"/>
  </r>
  <r>
    <x v="1"/>
    <x v="20"/>
    <x v="15"/>
    <n v="760"/>
    <x v="4"/>
    <x v="0"/>
  </r>
  <r>
    <x v="1"/>
    <x v="20"/>
    <x v="16"/>
    <n v="19"/>
    <x v="4"/>
    <x v="0"/>
  </r>
  <r>
    <x v="1"/>
    <x v="20"/>
    <x v="17"/>
    <n v="788"/>
    <x v="4"/>
    <x v="0"/>
  </r>
  <r>
    <x v="1"/>
    <x v="20"/>
    <x v="18"/>
    <n v="70"/>
    <x v="4"/>
    <x v="0"/>
  </r>
  <r>
    <x v="1"/>
    <x v="20"/>
    <x v="19"/>
    <n v="0"/>
    <x v="4"/>
    <x v="0"/>
  </r>
  <r>
    <x v="1"/>
    <x v="20"/>
    <x v="20"/>
    <n v="0"/>
    <x v="4"/>
    <x v="0"/>
  </r>
  <r>
    <x v="1"/>
    <x v="20"/>
    <x v="21"/>
    <n v="0"/>
    <x v="4"/>
    <x v="0"/>
  </r>
  <r>
    <x v="1"/>
    <x v="20"/>
    <x v="22"/>
    <n v="0"/>
    <x v="4"/>
    <x v="0"/>
  </r>
  <r>
    <x v="1"/>
    <x v="20"/>
    <x v="23"/>
    <n v="0"/>
    <x v="4"/>
    <x v="0"/>
  </r>
  <r>
    <x v="1"/>
    <x v="20"/>
    <x v="24"/>
    <n v="0"/>
    <x v="4"/>
    <x v="0"/>
  </r>
  <r>
    <x v="1"/>
    <x v="20"/>
    <x v="25"/>
    <n v="0"/>
    <x v="4"/>
    <x v="0"/>
  </r>
  <r>
    <x v="1"/>
    <x v="20"/>
    <x v="26"/>
    <n v="0"/>
    <x v="4"/>
    <x v="0"/>
  </r>
  <r>
    <x v="1"/>
    <x v="20"/>
    <x v="27"/>
    <n v="0"/>
    <x v="4"/>
    <x v="0"/>
  </r>
  <r>
    <x v="1"/>
    <x v="20"/>
    <x v="28"/>
    <n v="0"/>
    <x v="4"/>
    <x v="0"/>
  </r>
  <r>
    <x v="1"/>
    <x v="20"/>
    <x v="29"/>
    <n v="0"/>
    <x v="4"/>
    <x v="0"/>
  </r>
  <r>
    <x v="1"/>
    <x v="20"/>
    <x v="30"/>
    <n v="0"/>
    <x v="4"/>
    <x v="0"/>
  </r>
  <r>
    <x v="1"/>
    <x v="20"/>
    <x v="31"/>
    <n v="0"/>
    <x v="4"/>
    <x v="0"/>
  </r>
  <r>
    <x v="1"/>
    <x v="20"/>
    <x v="32"/>
    <n v="222"/>
    <x v="4"/>
    <x v="0"/>
  </r>
  <r>
    <x v="1"/>
    <x v="20"/>
    <x v="33"/>
    <n v="150"/>
    <x v="4"/>
    <x v="0"/>
  </r>
  <r>
    <x v="1"/>
    <x v="20"/>
    <x v="34"/>
    <n v="1"/>
    <x v="4"/>
    <x v="0"/>
  </r>
  <r>
    <x v="1"/>
    <x v="20"/>
    <x v="35"/>
    <n v="0"/>
    <x v="4"/>
    <x v="0"/>
  </r>
  <r>
    <x v="1"/>
    <x v="20"/>
    <x v="36"/>
    <n v="245"/>
    <x v="4"/>
    <x v="0"/>
  </r>
  <r>
    <x v="1"/>
    <x v="21"/>
    <x v="0"/>
    <n v="61"/>
    <x v="0"/>
    <x v="0"/>
  </r>
  <r>
    <x v="1"/>
    <x v="21"/>
    <x v="1"/>
    <n v="112"/>
    <x v="0"/>
    <x v="0"/>
  </r>
  <r>
    <x v="1"/>
    <x v="21"/>
    <x v="2"/>
    <n v="346"/>
    <x v="0"/>
    <x v="0"/>
  </r>
  <r>
    <x v="1"/>
    <x v="21"/>
    <x v="3"/>
    <n v="292"/>
    <x v="0"/>
    <x v="0"/>
  </r>
  <r>
    <x v="1"/>
    <x v="21"/>
    <x v="4"/>
    <n v="308"/>
    <x v="0"/>
    <x v="0"/>
  </r>
  <r>
    <x v="1"/>
    <x v="21"/>
    <x v="5"/>
    <n v="297"/>
    <x v="0"/>
    <x v="0"/>
  </r>
  <r>
    <x v="1"/>
    <x v="21"/>
    <x v="6"/>
    <n v="327"/>
    <x v="0"/>
    <x v="0"/>
  </r>
  <r>
    <x v="1"/>
    <x v="21"/>
    <x v="7"/>
    <n v="272"/>
    <x v="0"/>
    <x v="0"/>
  </r>
  <r>
    <x v="1"/>
    <x v="21"/>
    <x v="8"/>
    <n v="472"/>
    <x v="0"/>
    <x v="0"/>
  </r>
  <r>
    <x v="1"/>
    <x v="21"/>
    <x v="9"/>
    <n v="514"/>
    <x v="0"/>
    <x v="0"/>
  </r>
  <r>
    <x v="1"/>
    <x v="21"/>
    <x v="10"/>
    <n v="486"/>
    <x v="0"/>
    <x v="0"/>
  </r>
  <r>
    <x v="1"/>
    <x v="21"/>
    <x v="11"/>
    <n v="387"/>
    <x v="0"/>
    <x v="0"/>
  </r>
  <r>
    <x v="1"/>
    <x v="21"/>
    <x v="12"/>
    <n v="383"/>
    <x v="0"/>
    <x v="0"/>
  </r>
  <r>
    <x v="1"/>
    <x v="21"/>
    <x v="13"/>
    <n v="399"/>
    <x v="0"/>
    <x v="0"/>
  </r>
  <r>
    <x v="1"/>
    <x v="21"/>
    <x v="14"/>
    <n v="435"/>
    <x v="0"/>
    <x v="0"/>
  </r>
  <r>
    <x v="1"/>
    <x v="21"/>
    <x v="15"/>
    <n v="325"/>
    <x v="0"/>
    <x v="0"/>
  </r>
  <r>
    <x v="1"/>
    <x v="21"/>
    <x v="16"/>
    <n v="263"/>
    <x v="0"/>
    <x v="0"/>
  </r>
  <r>
    <x v="1"/>
    <x v="21"/>
    <x v="17"/>
    <n v="136"/>
    <x v="0"/>
    <x v="0"/>
  </r>
  <r>
    <x v="1"/>
    <x v="21"/>
    <x v="18"/>
    <n v="99"/>
    <x v="0"/>
    <x v="0"/>
  </r>
  <r>
    <x v="1"/>
    <x v="21"/>
    <x v="19"/>
    <n v="113"/>
    <x v="0"/>
    <x v="0"/>
  </r>
  <r>
    <x v="1"/>
    <x v="21"/>
    <x v="20"/>
    <n v="302"/>
    <x v="0"/>
    <x v="0"/>
  </r>
  <r>
    <x v="1"/>
    <x v="21"/>
    <x v="21"/>
    <n v="284"/>
    <x v="0"/>
    <x v="0"/>
  </r>
  <r>
    <x v="1"/>
    <x v="21"/>
    <x v="22"/>
    <n v="89"/>
    <x v="0"/>
    <x v="0"/>
  </r>
  <r>
    <x v="1"/>
    <x v="21"/>
    <x v="23"/>
    <n v="16"/>
    <x v="0"/>
    <x v="0"/>
  </r>
  <r>
    <x v="1"/>
    <x v="21"/>
    <x v="24"/>
    <n v="2"/>
    <x v="0"/>
    <x v="0"/>
  </r>
  <r>
    <x v="1"/>
    <x v="21"/>
    <x v="25"/>
    <n v="162"/>
    <x v="0"/>
    <x v="0"/>
  </r>
  <r>
    <x v="1"/>
    <x v="21"/>
    <x v="26"/>
    <n v="156"/>
    <x v="0"/>
    <x v="0"/>
  </r>
  <r>
    <x v="1"/>
    <x v="21"/>
    <x v="27"/>
    <n v="178"/>
    <x v="0"/>
    <x v="0"/>
  </r>
  <r>
    <x v="1"/>
    <x v="21"/>
    <x v="28"/>
    <n v="5"/>
    <x v="0"/>
    <x v="0"/>
  </r>
  <r>
    <x v="1"/>
    <x v="21"/>
    <x v="29"/>
    <n v="6"/>
    <x v="0"/>
    <x v="0"/>
  </r>
  <r>
    <x v="1"/>
    <x v="21"/>
    <x v="30"/>
    <n v="8"/>
    <x v="0"/>
    <x v="0"/>
  </r>
  <r>
    <x v="1"/>
    <x v="21"/>
    <x v="31"/>
    <n v="4"/>
    <x v="0"/>
    <x v="0"/>
  </r>
  <r>
    <x v="1"/>
    <x v="21"/>
    <x v="32"/>
    <n v="4"/>
    <x v="0"/>
    <x v="0"/>
  </r>
  <r>
    <x v="1"/>
    <x v="21"/>
    <x v="33"/>
    <n v="3"/>
    <x v="0"/>
    <x v="0"/>
  </r>
  <r>
    <x v="1"/>
    <x v="21"/>
    <x v="34"/>
    <n v="4"/>
    <x v="0"/>
    <x v="0"/>
  </r>
  <r>
    <x v="1"/>
    <x v="21"/>
    <x v="35"/>
    <n v="4"/>
    <x v="0"/>
    <x v="0"/>
  </r>
  <r>
    <x v="1"/>
    <x v="21"/>
    <x v="36"/>
    <n v="4"/>
    <x v="0"/>
    <x v="0"/>
  </r>
  <r>
    <x v="1"/>
    <x v="22"/>
    <x v="0"/>
    <n v="0"/>
    <x v="0"/>
    <x v="0"/>
  </r>
  <r>
    <x v="1"/>
    <x v="22"/>
    <x v="1"/>
    <n v="0"/>
    <x v="0"/>
    <x v="0"/>
  </r>
  <r>
    <x v="1"/>
    <x v="22"/>
    <x v="2"/>
    <n v="0"/>
    <x v="0"/>
    <x v="0"/>
  </r>
  <r>
    <x v="1"/>
    <x v="22"/>
    <x v="3"/>
    <n v="0"/>
    <x v="0"/>
    <x v="0"/>
  </r>
  <r>
    <x v="1"/>
    <x v="22"/>
    <x v="4"/>
    <n v="0"/>
    <x v="0"/>
    <x v="0"/>
  </r>
  <r>
    <x v="1"/>
    <x v="22"/>
    <x v="5"/>
    <n v="0"/>
    <x v="0"/>
    <x v="0"/>
  </r>
  <r>
    <x v="1"/>
    <x v="22"/>
    <x v="6"/>
    <n v="0"/>
    <x v="0"/>
    <x v="0"/>
  </r>
  <r>
    <x v="1"/>
    <x v="22"/>
    <x v="7"/>
    <n v="0"/>
    <x v="0"/>
    <x v="0"/>
  </r>
  <r>
    <x v="1"/>
    <x v="22"/>
    <x v="8"/>
    <n v="0"/>
    <x v="0"/>
    <x v="0"/>
  </r>
  <r>
    <x v="1"/>
    <x v="22"/>
    <x v="9"/>
    <n v="0"/>
    <x v="0"/>
    <x v="0"/>
  </r>
  <r>
    <x v="1"/>
    <x v="22"/>
    <x v="10"/>
    <n v="0"/>
    <x v="0"/>
    <x v="0"/>
  </r>
  <r>
    <x v="1"/>
    <x v="22"/>
    <x v="11"/>
    <n v="43"/>
    <x v="0"/>
    <x v="0"/>
  </r>
  <r>
    <x v="1"/>
    <x v="22"/>
    <x v="12"/>
    <n v="10"/>
    <x v="0"/>
    <x v="0"/>
  </r>
  <r>
    <x v="1"/>
    <x v="22"/>
    <x v="13"/>
    <n v="0"/>
    <x v="0"/>
    <x v="0"/>
  </r>
  <r>
    <x v="1"/>
    <x v="22"/>
    <x v="14"/>
    <n v="0"/>
    <x v="0"/>
    <x v="0"/>
  </r>
  <r>
    <x v="1"/>
    <x v="22"/>
    <x v="15"/>
    <n v="0"/>
    <x v="0"/>
    <x v="0"/>
  </r>
  <r>
    <x v="1"/>
    <x v="22"/>
    <x v="16"/>
    <n v="0"/>
    <x v="0"/>
    <x v="0"/>
  </r>
  <r>
    <x v="1"/>
    <x v="22"/>
    <x v="17"/>
    <n v="0"/>
    <x v="0"/>
    <x v="0"/>
  </r>
  <r>
    <x v="1"/>
    <x v="22"/>
    <x v="18"/>
    <n v="0"/>
    <x v="0"/>
    <x v="0"/>
  </r>
  <r>
    <x v="1"/>
    <x v="22"/>
    <x v="19"/>
    <n v="0"/>
    <x v="0"/>
    <x v="0"/>
  </r>
  <r>
    <x v="1"/>
    <x v="22"/>
    <x v="20"/>
    <n v="0"/>
    <x v="0"/>
    <x v="0"/>
  </r>
  <r>
    <x v="1"/>
    <x v="22"/>
    <x v="21"/>
    <n v="0"/>
    <x v="0"/>
    <x v="0"/>
  </r>
  <r>
    <x v="1"/>
    <x v="22"/>
    <x v="22"/>
    <n v="0"/>
    <x v="0"/>
    <x v="0"/>
  </r>
  <r>
    <x v="1"/>
    <x v="22"/>
    <x v="23"/>
    <n v="0"/>
    <x v="0"/>
    <x v="0"/>
  </r>
  <r>
    <x v="1"/>
    <x v="22"/>
    <x v="24"/>
    <n v="0"/>
    <x v="0"/>
    <x v="0"/>
  </r>
  <r>
    <x v="1"/>
    <x v="22"/>
    <x v="25"/>
    <n v="0"/>
    <x v="0"/>
    <x v="0"/>
  </r>
  <r>
    <x v="1"/>
    <x v="22"/>
    <x v="26"/>
    <n v="0"/>
    <x v="0"/>
    <x v="0"/>
  </r>
  <r>
    <x v="1"/>
    <x v="22"/>
    <x v="27"/>
    <n v="0"/>
    <x v="0"/>
    <x v="0"/>
  </r>
  <r>
    <x v="1"/>
    <x v="22"/>
    <x v="28"/>
    <n v="0"/>
    <x v="0"/>
    <x v="0"/>
  </r>
  <r>
    <x v="1"/>
    <x v="22"/>
    <x v="29"/>
    <n v="0"/>
    <x v="0"/>
    <x v="0"/>
  </r>
  <r>
    <x v="1"/>
    <x v="22"/>
    <x v="30"/>
    <n v="0"/>
    <x v="0"/>
    <x v="0"/>
  </r>
  <r>
    <x v="1"/>
    <x v="22"/>
    <x v="31"/>
    <n v="0"/>
    <x v="0"/>
    <x v="0"/>
  </r>
  <r>
    <x v="1"/>
    <x v="22"/>
    <x v="32"/>
    <n v="0"/>
    <x v="0"/>
    <x v="0"/>
  </r>
  <r>
    <x v="1"/>
    <x v="22"/>
    <x v="33"/>
    <n v="0"/>
    <x v="0"/>
    <x v="0"/>
  </r>
  <r>
    <x v="1"/>
    <x v="22"/>
    <x v="34"/>
    <n v="0"/>
    <x v="0"/>
    <x v="0"/>
  </r>
  <r>
    <x v="1"/>
    <x v="22"/>
    <x v="35"/>
    <n v="0"/>
    <x v="0"/>
    <x v="0"/>
  </r>
  <r>
    <x v="1"/>
    <x v="22"/>
    <x v="36"/>
    <n v="0"/>
    <x v="0"/>
    <x v="0"/>
  </r>
  <r>
    <x v="1"/>
    <x v="23"/>
    <x v="0"/>
    <n v="0"/>
    <x v="8"/>
    <x v="4"/>
  </r>
  <r>
    <x v="1"/>
    <x v="23"/>
    <x v="1"/>
    <n v="703"/>
    <x v="8"/>
    <x v="4"/>
  </r>
  <r>
    <x v="1"/>
    <x v="23"/>
    <x v="2"/>
    <n v="123"/>
    <x v="8"/>
    <x v="4"/>
  </r>
  <r>
    <x v="1"/>
    <x v="23"/>
    <x v="3"/>
    <n v="122"/>
    <x v="8"/>
    <x v="4"/>
  </r>
  <r>
    <x v="1"/>
    <x v="23"/>
    <x v="4"/>
    <n v="194"/>
    <x v="8"/>
    <x v="4"/>
  </r>
  <r>
    <x v="1"/>
    <x v="23"/>
    <x v="5"/>
    <n v="841"/>
    <x v="8"/>
    <x v="4"/>
  </r>
  <r>
    <x v="1"/>
    <x v="23"/>
    <x v="6"/>
    <n v="677"/>
    <x v="8"/>
    <x v="4"/>
  </r>
  <r>
    <x v="1"/>
    <x v="23"/>
    <x v="7"/>
    <n v="331"/>
    <x v="8"/>
    <x v="4"/>
  </r>
  <r>
    <x v="1"/>
    <x v="23"/>
    <x v="8"/>
    <n v="128"/>
    <x v="8"/>
    <x v="4"/>
  </r>
  <r>
    <x v="1"/>
    <x v="23"/>
    <x v="9"/>
    <n v="1205"/>
    <x v="8"/>
    <x v="4"/>
  </r>
  <r>
    <x v="1"/>
    <x v="23"/>
    <x v="10"/>
    <n v="401"/>
    <x v="8"/>
    <x v="4"/>
  </r>
  <r>
    <x v="1"/>
    <x v="23"/>
    <x v="11"/>
    <n v="1794"/>
    <x v="8"/>
    <x v="4"/>
  </r>
  <r>
    <x v="1"/>
    <x v="23"/>
    <x v="12"/>
    <n v="1564"/>
    <x v="8"/>
    <x v="4"/>
  </r>
  <r>
    <x v="1"/>
    <x v="23"/>
    <x v="13"/>
    <n v="2099"/>
    <x v="8"/>
    <x v="4"/>
  </r>
  <r>
    <x v="1"/>
    <x v="23"/>
    <x v="14"/>
    <n v="2409"/>
    <x v="8"/>
    <x v="4"/>
  </r>
  <r>
    <x v="1"/>
    <x v="23"/>
    <x v="15"/>
    <n v="2"/>
    <x v="8"/>
    <x v="4"/>
  </r>
  <r>
    <x v="1"/>
    <x v="23"/>
    <x v="16"/>
    <n v="2173"/>
    <x v="8"/>
    <x v="4"/>
  </r>
  <r>
    <x v="1"/>
    <x v="23"/>
    <x v="17"/>
    <n v="4738"/>
    <x v="8"/>
    <x v="4"/>
  </r>
  <r>
    <x v="1"/>
    <x v="23"/>
    <x v="18"/>
    <n v="1354"/>
    <x v="8"/>
    <x v="4"/>
  </r>
  <r>
    <x v="1"/>
    <x v="23"/>
    <x v="19"/>
    <n v="362"/>
    <x v="8"/>
    <x v="4"/>
  </r>
  <r>
    <x v="1"/>
    <x v="23"/>
    <x v="20"/>
    <n v="0"/>
    <x v="8"/>
    <x v="4"/>
  </r>
  <r>
    <x v="1"/>
    <x v="23"/>
    <x v="21"/>
    <n v="6892"/>
    <x v="8"/>
    <x v="4"/>
  </r>
  <r>
    <x v="1"/>
    <x v="23"/>
    <x v="22"/>
    <n v="341"/>
    <x v="8"/>
    <x v="4"/>
  </r>
  <r>
    <x v="1"/>
    <x v="23"/>
    <x v="23"/>
    <n v="1747"/>
    <x v="8"/>
    <x v="4"/>
  </r>
  <r>
    <x v="1"/>
    <x v="23"/>
    <x v="24"/>
    <n v="2047"/>
    <x v="8"/>
    <x v="4"/>
  </r>
  <r>
    <x v="1"/>
    <x v="23"/>
    <x v="25"/>
    <n v="4690"/>
    <x v="8"/>
    <x v="4"/>
  </r>
  <r>
    <x v="1"/>
    <x v="23"/>
    <x v="26"/>
    <n v="814"/>
    <x v="8"/>
    <x v="4"/>
  </r>
  <r>
    <x v="1"/>
    <x v="23"/>
    <x v="27"/>
    <n v="0"/>
    <x v="8"/>
    <x v="4"/>
  </r>
  <r>
    <x v="1"/>
    <x v="23"/>
    <x v="28"/>
    <n v="983"/>
    <x v="8"/>
    <x v="4"/>
  </r>
  <r>
    <x v="1"/>
    <x v="23"/>
    <x v="29"/>
    <n v="8803"/>
    <x v="8"/>
    <x v="4"/>
  </r>
  <r>
    <x v="1"/>
    <x v="23"/>
    <x v="30"/>
    <n v="25"/>
    <x v="8"/>
    <x v="4"/>
  </r>
  <r>
    <x v="1"/>
    <x v="23"/>
    <x v="31"/>
    <n v="0"/>
    <x v="8"/>
    <x v="4"/>
  </r>
  <r>
    <x v="1"/>
    <x v="23"/>
    <x v="32"/>
    <n v="511"/>
    <x v="8"/>
    <x v="4"/>
  </r>
  <r>
    <x v="1"/>
    <x v="23"/>
    <x v="33"/>
    <n v="1619"/>
    <x v="8"/>
    <x v="4"/>
  </r>
  <r>
    <x v="1"/>
    <x v="23"/>
    <x v="34"/>
    <n v="2948"/>
    <x v="8"/>
    <x v="4"/>
  </r>
  <r>
    <x v="1"/>
    <x v="23"/>
    <x v="35"/>
    <n v="10"/>
    <x v="8"/>
    <x v="4"/>
  </r>
  <r>
    <x v="1"/>
    <x v="23"/>
    <x v="36"/>
    <n v="614"/>
    <x v="8"/>
    <x v="4"/>
  </r>
  <r>
    <x v="1"/>
    <x v="24"/>
    <x v="0"/>
    <n v="351"/>
    <x v="8"/>
    <x v="4"/>
  </r>
  <r>
    <x v="1"/>
    <x v="24"/>
    <x v="1"/>
    <n v="388"/>
    <x v="8"/>
    <x v="4"/>
  </r>
  <r>
    <x v="1"/>
    <x v="24"/>
    <x v="2"/>
    <n v="415"/>
    <x v="8"/>
    <x v="4"/>
  </r>
  <r>
    <x v="1"/>
    <x v="24"/>
    <x v="3"/>
    <n v="39"/>
    <x v="8"/>
    <x v="4"/>
  </r>
  <r>
    <x v="1"/>
    <x v="24"/>
    <x v="4"/>
    <n v="86"/>
    <x v="8"/>
    <x v="4"/>
  </r>
  <r>
    <x v="1"/>
    <x v="24"/>
    <x v="5"/>
    <n v="113"/>
    <x v="8"/>
    <x v="4"/>
  </r>
  <r>
    <x v="1"/>
    <x v="24"/>
    <x v="6"/>
    <n v="80"/>
    <x v="8"/>
    <x v="4"/>
  </r>
  <r>
    <x v="1"/>
    <x v="24"/>
    <x v="7"/>
    <n v="75"/>
    <x v="8"/>
    <x v="4"/>
  </r>
  <r>
    <x v="1"/>
    <x v="24"/>
    <x v="8"/>
    <n v="133"/>
    <x v="8"/>
    <x v="4"/>
  </r>
  <r>
    <x v="1"/>
    <x v="24"/>
    <x v="9"/>
    <n v="84"/>
    <x v="8"/>
    <x v="4"/>
  </r>
  <r>
    <x v="1"/>
    <x v="24"/>
    <x v="10"/>
    <n v="87"/>
    <x v="8"/>
    <x v="4"/>
  </r>
  <r>
    <x v="1"/>
    <x v="24"/>
    <x v="11"/>
    <n v="201"/>
    <x v="8"/>
    <x v="4"/>
  </r>
  <r>
    <x v="1"/>
    <x v="24"/>
    <x v="12"/>
    <n v="0"/>
    <x v="8"/>
    <x v="4"/>
  </r>
  <r>
    <x v="1"/>
    <x v="24"/>
    <x v="13"/>
    <n v="0"/>
    <x v="8"/>
    <x v="4"/>
  </r>
  <r>
    <x v="1"/>
    <x v="24"/>
    <x v="14"/>
    <n v="0"/>
    <x v="8"/>
    <x v="4"/>
  </r>
  <r>
    <x v="1"/>
    <x v="24"/>
    <x v="15"/>
    <n v="0"/>
    <x v="8"/>
    <x v="4"/>
  </r>
  <r>
    <x v="1"/>
    <x v="24"/>
    <x v="16"/>
    <n v="1500"/>
    <x v="8"/>
    <x v="4"/>
  </r>
  <r>
    <x v="1"/>
    <x v="24"/>
    <x v="17"/>
    <n v="1314"/>
    <x v="8"/>
    <x v="4"/>
  </r>
  <r>
    <x v="1"/>
    <x v="24"/>
    <x v="18"/>
    <n v="1891"/>
    <x v="8"/>
    <x v="4"/>
  </r>
  <r>
    <x v="1"/>
    <x v="24"/>
    <x v="19"/>
    <n v="1509"/>
    <x v="8"/>
    <x v="4"/>
  </r>
  <r>
    <x v="1"/>
    <x v="24"/>
    <x v="20"/>
    <n v="4789"/>
    <x v="8"/>
    <x v="4"/>
  </r>
  <r>
    <x v="1"/>
    <x v="24"/>
    <x v="21"/>
    <n v="5769"/>
    <x v="8"/>
    <x v="4"/>
  </r>
  <r>
    <x v="1"/>
    <x v="24"/>
    <x v="22"/>
    <n v="6232"/>
    <x v="8"/>
    <x v="4"/>
  </r>
  <r>
    <x v="1"/>
    <x v="24"/>
    <x v="23"/>
    <n v="5484"/>
    <x v="8"/>
    <x v="4"/>
  </r>
  <r>
    <x v="1"/>
    <x v="24"/>
    <x v="24"/>
    <n v="10570"/>
    <x v="8"/>
    <x v="4"/>
  </r>
  <r>
    <x v="1"/>
    <x v="24"/>
    <x v="25"/>
    <n v="11134"/>
    <x v="8"/>
    <x v="4"/>
  </r>
  <r>
    <x v="1"/>
    <x v="24"/>
    <x v="26"/>
    <n v="12915"/>
    <x v="8"/>
    <x v="4"/>
  </r>
  <r>
    <x v="1"/>
    <x v="24"/>
    <x v="27"/>
    <n v="11731"/>
    <x v="8"/>
    <x v="4"/>
  </r>
  <r>
    <x v="1"/>
    <x v="24"/>
    <x v="28"/>
    <n v="15643"/>
    <x v="8"/>
    <x v="4"/>
  </r>
  <r>
    <x v="1"/>
    <x v="24"/>
    <x v="29"/>
    <n v="15869"/>
    <x v="8"/>
    <x v="4"/>
  </r>
  <r>
    <x v="1"/>
    <x v="24"/>
    <x v="30"/>
    <n v="11429"/>
    <x v="8"/>
    <x v="4"/>
  </r>
  <r>
    <x v="1"/>
    <x v="24"/>
    <x v="31"/>
    <n v="11854"/>
    <x v="8"/>
    <x v="4"/>
  </r>
  <r>
    <x v="1"/>
    <x v="24"/>
    <x v="32"/>
    <n v="13619"/>
    <x v="8"/>
    <x v="4"/>
  </r>
  <r>
    <x v="1"/>
    <x v="24"/>
    <x v="33"/>
    <n v="17233"/>
    <x v="8"/>
    <x v="4"/>
  </r>
  <r>
    <x v="1"/>
    <x v="24"/>
    <x v="34"/>
    <n v="17711"/>
    <x v="8"/>
    <x v="4"/>
  </r>
  <r>
    <x v="1"/>
    <x v="24"/>
    <x v="35"/>
    <n v="16941"/>
    <x v="8"/>
    <x v="4"/>
  </r>
  <r>
    <x v="1"/>
    <x v="24"/>
    <x v="36"/>
    <n v="13873"/>
    <x v="8"/>
    <x v="4"/>
  </r>
  <r>
    <x v="1"/>
    <x v="25"/>
    <x v="0"/>
    <n v="0"/>
    <x v="9"/>
    <x v="0"/>
  </r>
  <r>
    <x v="1"/>
    <x v="25"/>
    <x v="1"/>
    <n v="0"/>
    <x v="9"/>
    <x v="0"/>
  </r>
  <r>
    <x v="1"/>
    <x v="25"/>
    <x v="2"/>
    <n v="0"/>
    <x v="9"/>
    <x v="0"/>
  </r>
  <r>
    <x v="1"/>
    <x v="25"/>
    <x v="3"/>
    <n v="0"/>
    <x v="9"/>
    <x v="0"/>
  </r>
  <r>
    <x v="1"/>
    <x v="25"/>
    <x v="4"/>
    <n v="0"/>
    <x v="9"/>
    <x v="0"/>
  </r>
  <r>
    <x v="1"/>
    <x v="25"/>
    <x v="5"/>
    <n v="0"/>
    <x v="9"/>
    <x v="0"/>
  </r>
  <r>
    <x v="1"/>
    <x v="25"/>
    <x v="6"/>
    <n v="0"/>
    <x v="9"/>
    <x v="0"/>
  </r>
  <r>
    <x v="1"/>
    <x v="25"/>
    <x v="7"/>
    <n v="0"/>
    <x v="9"/>
    <x v="0"/>
  </r>
  <r>
    <x v="1"/>
    <x v="25"/>
    <x v="8"/>
    <n v="0"/>
    <x v="9"/>
    <x v="0"/>
  </r>
  <r>
    <x v="1"/>
    <x v="25"/>
    <x v="9"/>
    <n v="0"/>
    <x v="9"/>
    <x v="0"/>
  </r>
  <r>
    <x v="1"/>
    <x v="25"/>
    <x v="10"/>
    <n v="0"/>
    <x v="9"/>
    <x v="0"/>
  </r>
  <r>
    <x v="1"/>
    <x v="25"/>
    <x v="11"/>
    <n v="0"/>
    <x v="9"/>
    <x v="0"/>
  </r>
  <r>
    <x v="1"/>
    <x v="25"/>
    <x v="12"/>
    <n v="0"/>
    <x v="9"/>
    <x v="0"/>
  </r>
  <r>
    <x v="1"/>
    <x v="25"/>
    <x v="13"/>
    <n v="0"/>
    <x v="9"/>
    <x v="0"/>
  </r>
  <r>
    <x v="1"/>
    <x v="25"/>
    <x v="14"/>
    <n v="0"/>
    <x v="9"/>
    <x v="0"/>
  </r>
  <r>
    <x v="1"/>
    <x v="25"/>
    <x v="15"/>
    <n v="0"/>
    <x v="9"/>
    <x v="0"/>
  </r>
  <r>
    <x v="1"/>
    <x v="25"/>
    <x v="16"/>
    <n v="0"/>
    <x v="9"/>
    <x v="0"/>
  </r>
  <r>
    <x v="1"/>
    <x v="25"/>
    <x v="17"/>
    <n v="0"/>
    <x v="9"/>
    <x v="0"/>
  </r>
  <r>
    <x v="1"/>
    <x v="25"/>
    <x v="18"/>
    <n v="0"/>
    <x v="9"/>
    <x v="0"/>
  </r>
  <r>
    <x v="1"/>
    <x v="25"/>
    <x v="19"/>
    <n v="0"/>
    <x v="9"/>
    <x v="0"/>
  </r>
  <r>
    <x v="1"/>
    <x v="25"/>
    <x v="20"/>
    <n v="115"/>
    <x v="9"/>
    <x v="0"/>
  </r>
  <r>
    <x v="1"/>
    <x v="25"/>
    <x v="21"/>
    <n v="127"/>
    <x v="9"/>
    <x v="0"/>
  </r>
  <r>
    <x v="1"/>
    <x v="25"/>
    <x v="22"/>
    <n v="88"/>
    <x v="9"/>
    <x v="0"/>
  </r>
  <r>
    <x v="1"/>
    <x v="25"/>
    <x v="23"/>
    <n v="83"/>
    <x v="9"/>
    <x v="0"/>
  </r>
  <r>
    <x v="1"/>
    <x v="25"/>
    <x v="24"/>
    <n v="56"/>
    <x v="9"/>
    <x v="0"/>
  </r>
  <r>
    <x v="1"/>
    <x v="25"/>
    <x v="25"/>
    <n v="60"/>
    <x v="9"/>
    <x v="0"/>
  </r>
  <r>
    <x v="1"/>
    <x v="25"/>
    <x v="26"/>
    <n v="59"/>
    <x v="9"/>
    <x v="0"/>
  </r>
  <r>
    <x v="1"/>
    <x v="25"/>
    <x v="27"/>
    <n v="65"/>
    <x v="9"/>
    <x v="0"/>
  </r>
  <r>
    <x v="1"/>
    <x v="25"/>
    <x v="28"/>
    <n v="46"/>
    <x v="9"/>
    <x v="0"/>
  </r>
  <r>
    <x v="1"/>
    <x v="25"/>
    <x v="29"/>
    <n v="58"/>
    <x v="9"/>
    <x v="0"/>
  </r>
  <r>
    <x v="1"/>
    <x v="25"/>
    <x v="30"/>
    <n v="77"/>
    <x v="9"/>
    <x v="0"/>
  </r>
  <r>
    <x v="1"/>
    <x v="25"/>
    <x v="31"/>
    <n v="82"/>
    <x v="9"/>
    <x v="0"/>
  </r>
  <r>
    <x v="1"/>
    <x v="25"/>
    <x v="32"/>
    <n v="56"/>
    <x v="9"/>
    <x v="0"/>
  </r>
  <r>
    <x v="1"/>
    <x v="25"/>
    <x v="33"/>
    <n v="73"/>
    <x v="9"/>
    <x v="0"/>
  </r>
  <r>
    <x v="1"/>
    <x v="25"/>
    <x v="34"/>
    <n v="82"/>
    <x v="9"/>
    <x v="0"/>
  </r>
  <r>
    <x v="1"/>
    <x v="25"/>
    <x v="35"/>
    <n v="84"/>
    <x v="9"/>
    <x v="0"/>
  </r>
  <r>
    <x v="1"/>
    <x v="25"/>
    <x v="36"/>
    <n v="68"/>
    <x v="9"/>
    <x v="0"/>
  </r>
  <r>
    <x v="1"/>
    <x v="5"/>
    <x v="0"/>
    <n v="0"/>
    <x v="5"/>
    <x v="0"/>
  </r>
  <r>
    <x v="1"/>
    <x v="5"/>
    <x v="1"/>
    <n v="0"/>
    <x v="5"/>
    <x v="0"/>
  </r>
  <r>
    <x v="1"/>
    <x v="5"/>
    <x v="2"/>
    <n v="0"/>
    <x v="5"/>
    <x v="0"/>
  </r>
  <r>
    <x v="1"/>
    <x v="5"/>
    <x v="3"/>
    <n v="0"/>
    <x v="5"/>
    <x v="0"/>
  </r>
  <r>
    <x v="1"/>
    <x v="5"/>
    <x v="4"/>
    <n v="0"/>
    <x v="5"/>
    <x v="0"/>
  </r>
  <r>
    <x v="1"/>
    <x v="5"/>
    <x v="5"/>
    <n v="0"/>
    <x v="5"/>
    <x v="0"/>
  </r>
  <r>
    <x v="1"/>
    <x v="5"/>
    <x v="6"/>
    <n v="0"/>
    <x v="5"/>
    <x v="0"/>
  </r>
  <r>
    <x v="1"/>
    <x v="5"/>
    <x v="7"/>
    <n v="0"/>
    <x v="5"/>
    <x v="0"/>
  </r>
  <r>
    <x v="1"/>
    <x v="5"/>
    <x v="8"/>
    <n v="0"/>
    <x v="5"/>
    <x v="0"/>
  </r>
  <r>
    <x v="1"/>
    <x v="5"/>
    <x v="9"/>
    <n v="0"/>
    <x v="5"/>
    <x v="0"/>
  </r>
  <r>
    <x v="1"/>
    <x v="5"/>
    <x v="10"/>
    <n v="0"/>
    <x v="5"/>
    <x v="0"/>
  </r>
  <r>
    <x v="1"/>
    <x v="5"/>
    <x v="11"/>
    <n v="168"/>
    <x v="5"/>
    <x v="0"/>
  </r>
  <r>
    <x v="1"/>
    <x v="5"/>
    <x v="12"/>
    <n v="806"/>
    <x v="5"/>
    <x v="0"/>
  </r>
  <r>
    <x v="1"/>
    <x v="5"/>
    <x v="13"/>
    <n v="1212"/>
    <x v="5"/>
    <x v="0"/>
  </r>
  <r>
    <x v="1"/>
    <x v="5"/>
    <x v="14"/>
    <n v="1268"/>
    <x v="5"/>
    <x v="0"/>
  </r>
  <r>
    <x v="1"/>
    <x v="5"/>
    <x v="15"/>
    <n v="1235"/>
    <x v="5"/>
    <x v="0"/>
  </r>
  <r>
    <x v="1"/>
    <x v="5"/>
    <x v="16"/>
    <n v="1182"/>
    <x v="5"/>
    <x v="0"/>
  </r>
  <r>
    <x v="1"/>
    <x v="5"/>
    <x v="17"/>
    <n v="916"/>
    <x v="5"/>
    <x v="0"/>
  </r>
  <r>
    <x v="1"/>
    <x v="5"/>
    <x v="18"/>
    <n v="720"/>
    <x v="5"/>
    <x v="0"/>
  </r>
  <r>
    <x v="1"/>
    <x v="5"/>
    <x v="19"/>
    <n v="936"/>
    <x v="5"/>
    <x v="0"/>
  </r>
  <r>
    <x v="1"/>
    <x v="5"/>
    <x v="20"/>
    <n v="1168"/>
    <x v="5"/>
    <x v="0"/>
  </r>
  <r>
    <x v="1"/>
    <x v="5"/>
    <x v="21"/>
    <n v="1050"/>
    <x v="5"/>
    <x v="0"/>
  </r>
  <r>
    <x v="1"/>
    <x v="5"/>
    <x v="22"/>
    <n v="724"/>
    <x v="5"/>
    <x v="0"/>
  </r>
  <r>
    <x v="1"/>
    <x v="5"/>
    <x v="23"/>
    <n v="866"/>
    <x v="5"/>
    <x v="0"/>
  </r>
  <r>
    <x v="1"/>
    <x v="5"/>
    <x v="24"/>
    <n v="663"/>
    <x v="5"/>
    <x v="0"/>
  </r>
  <r>
    <x v="1"/>
    <x v="5"/>
    <x v="25"/>
    <n v="836"/>
    <x v="5"/>
    <x v="0"/>
  </r>
  <r>
    <x v="1"/>
    <x v="5"/>
    <x v="26"/>
    <n v="1316"/>
    <x v="5"/>
    <x v="0"/>
  </r>
  <r>
    <x v="1"/>
    <x v="5"/>
    <x v="27"/>
    <n v="993"/>
    <x v="5"/>
    <x v="0"/>
  </r>
  <r>
    <x v="1"/>
    <x v="5"/>
    <x v="28"/>
    <n v="1386"/>
    <x v="5"/>
    <x v="0"/>
  </r>
  <r>
    <x v="1"/>
    <x v="5"/>
    <x v="29"/>
    <n v="1859"/>
    <x v="5"/>
    <x v="0"/>
  </r>
  <r>
    <x v="1"/>
    <x v="5"/>
    <x v="30"/>
    <n v="614"/>
    <x v="5"/>
    <x v="0"/>
  </r>
  <r>
    <x v="1"/>
    <x v="5"/>
    <x v="31"/>
    <n v="942"/>
    <x v="5"/>
    <x v="0"/>
  </r>
  <r>
    <x v="1"/>
    <x v="5"/>
    <x v="32"/>
    <n v="0"/>
    <x v="5"/>
    <x v="0"/>
  </r>
  <r>
    <x v="1"/>
    <x v="5"/>
    <x v="33"/>
    <n v="0"/>
    <x v="5"/>
    <x v="0"/>
  </r>
  <r>
    <x v="1"/>
    <x v="5"/>
    <x v="34"/>
    <n v="0"/>
    <x v="5"/>
    <x v="0"/>
  </r>
  <r>
    <x v="1"/>
    <x v="5"/>
    <x v="35"/>
    <n v="0"/>
    <x v="5"/>
    <x v="0"/>
  </r>
  <r>
    <x v="1"/>
    <x v="5"/>
    <x v="36"/>
    <n v="0"/>
    <x v="5"/>
    <x v="0"/>
  </r>
  <r>
    <x v="1"/>
    <x v="26"/>
    <x v="0"/>
    <n v="28"/>
    <x v="5"/>
    <x v="0"/>
  </r>
  <r>
    <x v="1"/>
    <x v="26"/>
    <x v="1"/>
    <n v="28"/>
    <x v="5"/>
    <x v="0"/>
  </r>
  <r>
    <x v="1"/>
    <x v="26"/>
    <x v="2"/>
    <n v="13"/>
    <x v="5"/>
    <x v="0"/>
  </r>
  <r>
    <x v="1"/>
    <x v="26"/>
    <x v="3"/>
    <n v="31"/>
    <x v="5"/>
    <x v="0"/>
  </r>
  <r>
    <x v="1"/>
    <x v="26"/>
    <x v="4"/>
    <n v="32"/>
    <x v="5"/>
    <x v="0"/>
  </r>
  <r>
    <x v="1"/>
    <x v="26"/>
    <x v="5"/>
    <n v="68"/>
    <x v="5"/>
    <x v="0"/>
  </r>
  <r>
    <x v="1"/>
    <x v="26"/>
    <x v="6"/>
    <n v="38"/>
    <x v="5"/>
    <x v="0"/>
  </r>
  <r>
    <x v="1"/>
    <x v="26"/>
    <x v="7"/>
    <n v="61"/>
    <x v="5"/>
    <x v="0"/>
  </r>
  <r>
    <x v="1"/>
    <x v="26"/>
    <x v="8"/>
    <n v="199"/>
    <x v="5"/>
    <x v="0"/>
  </r>
  <r>
    <x v="1"/>
    <x v="26"/>
    <x v="9"/>
    <n v="218"/>
    <x v="5"/>
    <x v="0"/>
  </r>
  <r>
    <x v="1"/>
    <x v="26"/>
    <x v="10"/>
    <n v="238"/>
    <x v="5"/>
    <x v="0"/>
  </r>
  <r>
    <x v="1"/>
    <x v="26"/>
    <x v="11"/>
    <n v="367"/>
    <x v="5"/>
    <x v="0"/>
  </r>
  <r>
    <x v="1"/>
    <x v="26"/>
    <x v="12"/>
    <n v="413"/>
    <x v="5"/>
    <x v="0"/>
  </r>
  <r>
    <x v="1"/>
    <x v="26"/>
    <x v="13"/>
    <n v="173"/>
    <x v="5"/>
    <x v="0"/>
  </r>
  <r>
    <x v="1"/>
    <x v="26"/>
    <x v="14"/>
    <n v="375"/>
    <x v="5"/>
    <x v="0"/>
  </r>
  <r>
    <x v="1"/>
    <x v="26"/>
    <x v="15"/>
    <n v="700"/>
    <x v="5"/>
    <x v="0"/>
  </r>
  <r>
    <x v="1"/>
    <x v="26"/>
    <x v="16"/>
    <n v="305"/>
    <x v="5"/>
    <x v="0"/>
  </r>
  <r>
    <x v="1"/>
    <x v="26"/>
    <x v="17"/>
    <n v="45"/>
    <x v="5"/>
    <x v="0"/>
  </r>
  <r>
    <x v="1"/>
    <x v="26"/>
    <x v="18"/>
    <n v="57"/>
    <x v="5"/>
    <x v="0"/>
  </r>
  <r>
    <x v="1"/>
    <x v="26"/>
    <x v="19"/>
    <n v="107"/>
    <x v="5"/>
    <x v="0"/>
  </r>
  <r>
    <x v="1"/>
    <x v="26"/>
    <x v="20"/>
    <n v="150"/>
    <x v="5"/>
    <x v="0"/>
  </r>
  <r>
    <x v="1"/>
    <x v="26"/>
    <x v="21"/>
    <n v="360"/>
    <x v="5"/>
    <x v="0"/>
  </r>
  <r>
    <x v="1"/>
    <x v="26"/>
    <x v="22"/>
    <n v="338"/>
    <x v="5"/>
    <x v="0"/>
  </r>
  <r>
    <x v="1"/>
    <x v="26"/>
    <x v="23"/>
    <n v="454"/>
    <x v="5"/>
    <x v="0"/>
  </r>
  <r>
    <x v="1"/>
    <x v="26"/>
    <x v="24"/>
    <n v="385"/>
    <x v="5"/>
    <x v="0"/>
  </r>
  <r>
    <x v="1"/>
    <x v="26"/>
    <x v="25"/>
    <n v="446"/>
    <x v="5"/>
    <x v="0"/>
  </r>
  <r>
    <x v="1"/>
    <x v="26"/>
    <x v="26"/>
    <n v="258"/>
    <x v="5"/>
    <x v="0"/>
  </r>
  <r>
    <x v="1"/>
    <x v="26"/>
    <x v="27"/>
    <n v="435"/>
    <x v="5"/>
    <x v="0"/>
  </r>
  <r>
    <x v="1"/>
    <x v="26"/>
    <x v="28"/>
    <n v="354"/>
    <x v="5"/>
    <x v="0"/>
  </r>
  <r>
    <x v="1"/>
    <x v="26"/>
    <x v="29"/>
    <n v="341"/>
    <x v="5"/>
    <x v="0"/>
  </r>
  <r>
    <x v="1"/>
    <x v="26"/>
    <x v="30"/>
    <n v="229"/>
    <x v="5"/>
    <x v="0"/>
  </r>
  <r>
    <x v="1"/>
    <x v="26"/>
    <x v="31"/>
    <n v="254"/>
    <x v="5"/>
    <x v="0"/>
  </r>
  <r>
    <x v="1"/>
    <x v="26"/>
    <x v="32"/>
    <n v="334"/>
    <x v="5"/>
    <x v="0"/>
  </r>
  <r>
    <x v="1"/>
    <x v="26"/>
    <x v="33"/>
    <n v="305"/>
    <x v="5"/>
    <x v="0"/>
  </r>
  <r>
    <x v="1"/>
    <x v="26"/>
    <x v="34"/>
    <n v="157"/>
    <x v="5"/>
    <x v="0"/>
  </r>
  <r>
    <x v="1"/>
    <x v="26"/>
    <x v="35"/>
    <n v="325"/>
    <x v="5"/>
    <x v="0"/>
  </r>
  <r>
    <x v="1"/>
    <x v="26"/>
    <x v="36"/>
    <n v="207"/>
    <x v="5"/>
    <x v="0"/>
  </r>
  <r>
    <x v="2"/>
    <x v="6"/>
    <x v="0"/>
    <n v="0"/>
    <x v="6"/>
    <x v="0"/>
  </r>
  <r>
    <x v="2"/>
    <x v="6"/>
    <x v="1"/>
    <n v="0"/>
    <x v="6"/>
    <x v="0"/>
  </r>
  <r>
    <x v="2"/>
    <x v="6"/>
    <x v="2"/>
    <n v="0"/>
    <x v="6"/>
    <x v="0"/>
  </r>
  <r>
    <x v="2"/>
    <x v="6"/>
    <x v="3"/>
    <n v="0"/>
    <x v="6"/>
    <x v="0"/>
  </r>
  <r>
    <x v="2"/>
    <x v="6"/>
    <x v="4"/>
    <n v="0"/>
    <x v="6"/>
    <x v="0"/>
  </r>
  <r>
    <x v="2"/>
    <x v="6"/>
    <x v="5"/>
    <n v="0"/>
    <x v="6"/>
    <x v="0"/>
  </r>
  <r>
    <x v="2"/>
    <x v="6"/>
    <x v="6"/>
    <n v="0"/>
    <x v="6"/>
    <x v="0"/>
  </r>
  <r>
    <x v="2"/>
    <x v="6"/>
    <x v="7"/>
    <n v="0"/>
    <x v="6"/>
    <x v="0"/>
  </r>
  <r>
    <x v="2"/>
    <x v="6"/>
    <x v="8"/>
    <n v="0"/>
    <x v="6"/>
    <x v="0"/>
  </r>
  <r>
    <x v="2"/>
    <x v="6"/>
    <x v="9"/>
    <n v="0"/>
    <x v="6"/>
    <x v="0"/>
  </r>
  <r>
    <x v="2"/>
    <x v="6"/>
    <x v="10"/>
    <n v="0"/>
    <x v="6"/>
    <x v="0"/>
  </r>
  <r>
    <x v="2"/>
    <x v="6"/>
    <x v="11"/>
    <n v="0"/>
    <x v="6"/>
    <x v="0"/>
  </r>
  <r>
    <x v="2"/>
    <x v="6"/>
    <x v="12"/>
    <n v="0"/>
    <x v="6"/>
    <x v="0"/>
  </r>
  <r>
    <x v="2"/>
    <x v="6"/>
    <x v="13"/>
    <n v="0"/>
    <x v="6"/>
    <x v="0"/>
  </r>
  <r>
    <x v="2"/>
    <x v="6"/>
    <x v="14"/>
    <n v="0"/>
    <x v="6"/>
    <x v="0"/>
  </r>
  <r>
    <x v="2"/>
    <x v="6"/>
    <x v="15"/>
    <n v="0"/>
    <x v="6"/>
    <x v="0"/>
  </r>
  <r>
    <x v="2"/>
    <x v="6"/>
    <x v="16"/>
    <n v="0"/>
    <x v="6"/>
    <x v="0"/>
  </r>
  <r>
    <x v="2"/>
    <x v="6"/>
    <x v="17"/>
    <n v="0"/>
    <x v="6"/>
    <x v="0"/>
  </r>
  <r>
    <x v="2"/>
    <x v="6"/>
    <x v="18"/>
    <n v="0"/>
    <x v="6"/>
    <x v="0"/>
  </r>
  <r>
    <x v="2"/>
    <x v="6"/>
    <x v="19"/>
    <n v="0"/>
    <x v="6"/>
    <x v="0"/>
  </r>
  <r>
    <x v="2"/>
    <x v="6"/>
    <x v="20"/>
    <n v="0"/>
    <x v="6"/>
    <x v="0"/>
  </r>
  <r>
    <x v="2"/>
    <x v="6"/>
    <x v="21"/>
    <n v="0"/>
    <x v="6"/>
    <x v="0"/>
  </r>
  <r>
    <x v="2"/>
    <x v="6"/>
    <x v="22"/>
    <n v="0"/>
    <x v="6"/>
    <x v="0"/>
  </r>
  <r>
    <x v="2"/>
    <x v="6"/>
    <x v="23"/>
    <n v="0"/>
    <x v="6"/>
    <x v="0"/>
  </r>
  <r>
    <x v="2"/>
    <x v="6"/>
    <x v="24"/>
    <n v="0"/>
    <x v="6"/>
    <x v="0"/>
  </r>
  <r>
    <x v="2"/>
    <x v="6"/>
    <x v="25"/>
    <n v="0"/>
    <x v="6"/>
    <x v="0"/>
  </r>
  <r>
    <x v="2"/>
    <x v="6"/>
    <x v="26"/>
    <n v="0"/>
    <x v="6"/>
    <x v="0"/>
  </r>
  <r>
    <x v="2"/>
    <x v="6"/>
    <x v="27"/>
    <n v="0"/>
    <x v="6"/>
    <x v="0"/>
  </r>
  <r>
    <x v="2"/>
    <x v="6"/>
    <x v="28"/>
    <n v="0"/>
    <x v="6"/>
    <x v="0"/>
  </r>
  <r>
    <x v="2"/>
    <x v="6"/>
    <x v="29"/>
    <n v="0"/>
    <x v="6"/>
    <x v="0"/>
  </r>
  <r>
    <x v="2"/>
    <x v="6"/>
    <x v="30"/>
    <n v="0"/>
    <x v="6"/>
    <x v="0"/>
  </r>
  <r>
    <x v="2"/>
    <x v="6"/>
    <x v="31"/>
    <n v="0"/>
    <x v="6"/>
    <x v="0"/>
  </r>
  <r>
    <x v="2"/>
    <x v="6"/>
    <x v="32"/>
    <n v="0"/>
    <x v="6"/>
    <x v="0"/>
  </r>
  <r>
    <x v="2"/>
    <x v="6"/>
    <x v="33"/>
    <n v="0"/>
    <x v="6"/>
    <x v="0"/>
  </r>
  <r>
    <x v="2"/>
    <x v="6"/>
    <x v="34"/>
    <n v="0"/>
    <x v="6"/>
    <x v="0"/>
  </r>
  <r>
    <x v="2"/>
    <x v="6"/>
    <x v="35"/>
    <n v="0"/>
    <x v="6"/>
    <x v="0"/>
  </r>
  <r>
    <x v="2"/>
    <x v="6"/>
    <x v="36"/>
    <n v="0"/>
    <x v="6"/>
    <x v="0"/>
  </r>
  <r>
    <x v="2"/>
    <x v="0"/>
    <x v="0"/>
    <n v="0"/>
    <x v="0"/>
    <x v="0"/>
  </r>
  <r>
    <x v="2"/>
    <x v="0"/>
    <x v="1"/>
    <n v="0"/>
    <x v="0"/>
    <x v="0"/>
  </r>
  <r>
    <x v="2"/>
    <x v="0"/>
    <x v="2"/>
    <n v="0"/>
    <x v="0"/>
    <x v="0"/>
  </r>
  <r>
    <x v="2"/>
    <x v="0"/>
    <x v="3"/>
    <n v="0"/>
    <x v="0"/>
    <x v="0"/>
  </r>
  <r>
    <x v="2"/>
    <x v="0"/>
    <x v="4"/>
    <n v="0"/>
    <x v="0"/>
    <x v="0"/>
  </r>
  <r>
    <x v="2"/>
    <x v="0"/>
    <x v="5"/>
    <n v="0"/>
    <x v="0"/>
    <x v="0"/>
  </r>
  <r>
    <x v="2"/>
    <x v="0"/>
    <x v="6"/>
    <n v="0"/>
    <x v="0"/>
    <x v="0"/>
  </r>
  <r>
    <x v="2"/>
    <x v="0"/>
    <x v="7"/>
    <n v="0"/>
    <x v="0"/>
    <x v="0"/>
  </r>
  <r>
    <x v="2"/>
    <x v="0"/>
    <x v="8"/>
    <n v="0"/>
    <x v="0"/>
    <x v="0"/>
  </r>
  <r>
    <x v="2"/>
    <x v="0"/>
    <x v="9"/>
    <n v="0"/>
    <x v="0"/>
    <x v="0"/>
  </r>
  <r>
    <x v="2"/>
    <x v="0"/>
    <x v="10"/>
    <n v="0"/>
    <x v="0"/>
    <x v="0"/>
  </r>
  <r>
    <x v="2"/>
    <x v="0"/>
    <x v="11"/>
    <n v="0"/>
    <x v="0"/>
    <x v="0"/>
  </r>
  <r>
    <x v="2"/>
    <x v="0"/>
    <x v="12"/>
    <n v="0"/>
    <x v="0"/>
    <x v="0"/>
  </r>
  <r>
    <x v="2"/>
    <x v="0"/>
    <x v="13"/>
    <n v="0"/>
    <x v="0"/>
    <x v="0"/>
  </r>
  <r>
    <x v="2"/>
    <x v="0"/>
    <x v="14"/>
    <n v="0"/>
    <x v="0"/>
    <x v="0"/>
  </r>
  <r>
    <x v="2"/>
    <x v="0"/>
    <x v="15"/>
    <n v="0"/>
    <x v="0"/>
    <x v="0"/>
  </r>
  <r>
    <x v="2"/>
    <x v="0"/>
    <x v="16"/>
    <n v="0"/>
    <x v="0"/>
    <x v="0"/>
  </r>
  <r>
    <x v="2"/>
    <x v="0"/>
    <x v="17"/>
    <n v="0"/>
    <x v="0"/>
    <x v="0"/>
  </r>
  <r>
    <x v="2"/>
    <x v="0"/>
    <x v="18"/>
    <n v="0"/>
    <x v="0"/>
    <x v="0"/>
  </r>
  <r>
    <x v="2"/>
    <x v="0"/>
    <x v="19"/>
    <n v="0"/>
    <x v="0"/>
    <x v="0"/>
  </r>
  <r>
    <x v="2"/>
    <x v="0"/>
    <x v="20"/>
    <n v="0"/>
    <x v="0"/>
    <x v="0"/>
  </r>
  <r>
    <x v="2"/>
    <x v="0"/>
    <x v="21"/>
    <n v="0"/>
    <x v="0"/>
    <x v="0"/>
  </r>
  <r>
    <x v="2"/>
    <x v="0"/>
    <x v="22"/>
    <n v="0"/>
    <x v="0"/>
    <x v="0"/>
  </r>
  <r>
    <x v="2"/>
    <x v="0"/>
    <x v="23"/>
    <n v="0"/>
    <x v="0"/>
    <x v="0"/>
  </r>
  <r>
    <x v="2"/>
    <x v="0"/>
    <x v="24"/>
    <n v="0"/>
    <x v="0"/>
    <x v="0"/>
  </r>
  <r>
    <x v="2"/>
    <x v="0"/>
    <x v="25"/>
    <n v="0"/>
    <x v="0"/>
    <x v="0"/>
  </r>
  <r>
    <x v="2"/>
    <x v="0"/>
    <x v="26"/>
    <n v="0"/>
    <x v="0"/>
    <x v="0"/>
  </r>
  <r>
    <x v="2"/>
    <x v="0"/>
    <x v="27"/>
    <n v="0"/>
    <x v="0"/>
    <x v="0"/>
  </r>
  <r>
    <x v="2"/>
    <x v="0"/>
    <x v="28"/>
    <n v="0"/>
    <x v="0"/>
    <x v="0"/>
  </r>
  <r>
    <x v="2"/>
    <x v="0"/>
    <x v="29"/>
    <n v="0"/>
    <x v="0"/>
    <x v="0"/>
  </r>
  <r>
    <x v="2"/>
    <x v="0"/>
    <x v="30"/>
    <n v="0"/>
    <x v="0"/>
    <x v="0"/>
  </r>
  <r>
    <x v="2"/>
    <x v="0"/>
    <x v="31"/>
    <n v="0"/>
    <x v="0"/>
    <x v="0"/>
  </r>
  <r>
    <x v="2"/>
    <x v="0"/>
    <x v="32"/>
    <n v="0"/>
    <x v="0"/>
    <x v="0"/>
  </r>
  <r>
    <x v="2"/>
    <x v="0"/>
    <x v="33"/>
    <n v="0"/>
    <x v="0"/>
    <x v="0"/>
  </r>
  <r>
    <x v="2"/>
    <x v="0"/>
    <x v="34"/>
    <n v="0"/>
    <x v="0"/>
    <x v="0"/>
  </r>
  <r>
    <x v="2"/>
    <x v="0"/>
    <x v="35"/>
    <n v="0"/>
    <x v="0"/>
    <x v="0"/>
  </r>
  <r>
    <x v="2"/>
    <x v="0"/>
    <x v="36"/>
    <n v="0"/>
    <x v="0"/>
    <x v="0"/>
  </r>
  <r>
    <x v="2"/>
    <x v="7"/>
    <x v="0"/>
    <n v="0"/>
    <x v="0"/>
    <x v="0"/>
  </r>
  <r>
    <x v="2"/>
    <x v="7"/>
    <x v="1"/>
    <n v="0"/>
    <x v="0"/>
    <x v="0"/>
  </r>
  <r>
    <x v="2"/>
    <x v="7"/>
    <x v="2"/>
    <n v="0"/>
    <x v="0"/>
    <x v="0"/>
  </r>
  <r>
    <x v="2"/>
    <x v="7"/>
    <x v="3"/>
    <n v="0"/>
    <x v="0"/>
    <x v="0"/>
  </r>
  <r>
    <x v="2"/>
    <x v="7"/>
    <x v="4"/>
    <n v="0"/>
    <x v="0"/>
    <x v="0"/>
  </r>
  <r>
    <x v="2"/>
    <x v="7"/>
    <x v="5"/>
    <n v="0"/>
    <x v="0"/>
    <x v="0"/>
  </r>
  <r>
    <x v="2"/>
    <x v="7"/>
    <x v="6"/>
    <n v="0"/>
    <x v="0"/>
    <x v="0"/>
  </r>
  <r>
    <x v="2"/>
    <x v="7"/>
    <x v="7"/>
    <n v="0"/>
    <x v="0"/>
    <x v="0"/>
  </r>
  <r>
    <x v="2"/>
    <x v="7"/>
    <x v="8"/>
    <n v="0"/>
    <x v="0"/>
    <x v="0"/>
  </r>
  <r>
    <x v="2"/>
    <x v="7"/>
    <x v="9"/>
    <n v="0"/>
    <x v="0"/>
    <x v="0"/>
  </r>
  <r>
    <x v="2"/>
    <x v="7"/>
    <x v="10"/>
    <n v="0"/>
    <x v="0"/>
    <x v="0"/>
  </r>
  <r>
    <x v="2"/>
    <x v="7"/>
    <x v="11"/>
    <n v="0"/>
    <x v="0"/>
    <x v="0"/>
  </r>
  <r>
    <x v="2"/>
    <x v="7"/>
    <x v="12"/>
    <n v="0"/>
    <x v="0"/>
    <x v="0"/>
  </r>
  <r>
    <x v="2"/>
    <x v="7"/>
    <x v="13"/>
    <n v="0"/>
    <x v="0"/>
    <x v="0"/>
  </r>
  <r>
    <x v="2"/>
    <x v="7"/>
    <x v="14"/>
    <n v="0"/>
    <x v="0"/>
    <x v="0"/>
  </r>
  <r>
    <x v="2"/>
    <x v="7"/>
    <x v="15"/>
    <n v="0"/>
    <x v="0"/>
    <x v="0"/>
  </r>
  <r>
    <x v="2"/>
    <x v="7"/>
    <x v="16"/>
    <n v="0"/>
    <x v="0"/>
    <x v="0"/>
  </r>
  <r>
    <x v="2"/>
    <x v="7"/>
    <x v="17"/>
    <n v="0"/>
    <x v="0"/>
    <x v="0"/>
  </r>
  <r>
    <x v="2"/>
    <x v="7"/>
    <x v="18"/>
    <n v="0"/>
    <x v="0"/>
    <x v="0"/>
  </r>
  <r>
    <x v="2"/>
    <x v="7"/>
    <x v="19"/>
    <n v="0"/>
    <x v="0"/>
    <x v="0"/>
  </r>
  <r>
    <x v="2"/>
    <x v="7"/>
    <x v="20"/>
    <n v="0"/>
    <x v="0"/>
    <x v="0"/>
  </r>
  <r>
    <x v="2"/>
    <x v="7"/>
    <x v="21"/>
    <n v="0"/>
    <x v="0"/>
    <x v="0"/>
  </r>
  <r>
    <x v="2"/>
    <x v="7"/>
    <x v="22"/>
    <n v="0"/>
    <x v="0"/>
    <x v="0"/>
  </r>
  <r>
    <x v="2"/>
    <x v="7"/>
    <x v="23"/>
    <n v="0"/>
    <x v="0"/>
    <x v="0"/>
  </r>
  <r>
    <x v="2"/>
    <x v="7"/>
    <x v="24"/>
    <n v="0"/>
    <x v="0"/>
    <x v="0"/>
  </r>
  <r>
    <x v="2"/>
    <x v="7"/>
    <x v="25"/>
    <n v="0"/>
    <x v="0"/>
    <x v="0"/>
  </r>
  <r>
    <x v="2"/>
    <x v="7"/>
    <x v="26"/>
    <n v="0"/>
    <x v="0"/>
    <x v="0"/>
  </r>
  <r>
    <x v="2"/>
    <x v="7"/>
    <x v="27"/>
    <n v="0"/>
    <x v="0"/>
    <x v="0"/>
  </r>
  <r>
    <x v="2"/>
    <x v="7"/>
    <x v="28"/>
    <n v="0"/>
    <x v="0"/>
    <x v="0"/>
  </r>
  <r>
    <x v="2"/>
    <x v="7"/>
    <x v="29"/>
    <n v="0"/>
    <x v="0"/>
    <x v="0"/>
  </r>
  <r>
    <x v="2"/>
    <x v="7"/>
    <x v="30"/>
    <n v="0"/>
    <x v="0"/>
    <x v="0"/>
  </r>
  <r>
    <x v="2"/>
    <x v="7"/>
    <x v="31"/>
    <n v="0"/>
    <x v="0"/>
    <x v="0"/>
  </r>
  <r>
    <x v="2"/>
    <x v="7"/>
    <x v="32"/>
    <n v="0"/>
    <x v="0"/>
    <x v="0"/>
  </r>
  <r>
    <x v="2"/>
    <x v="7"/>
    <x v="33"/>
    <n v="0"/>
    <x v="0"/>
    <x v="0"/>
  </r>
  <r>
    <x v="2"/>
    <x v="7"/>
    <x v="34"/>
    <n v="0"/>
    <x v="0"/>
    <x v="0"/>
  </r>
  <r>
    <x v="2"/>
    <x v="7"/>
    <x v="35"/>
    <n v="0"/>
    <x v="0"/>
    <x v="0"/>
  </r>
  <r>
    <x v="2"/>
    <x v="7"/>
    <x v="36"/>
    <n v="0"/>
    <x v="0"/>
    <x v="0"/>
  </r>
  <r>
    <x v="2"/>
    <x v="1"/>
    <x v="0"/>
    <n v="148"/>
    <x v="7"/>
    <x v="0"/>
  </r>
  <r>
    <x v="2"/>
    <x v="1"/>
    <x v="1"/>
    <n v="1256"/>
    <x v="7"/>
    <x v="0"/>
  </r>
  <r>
    <x v="2"/>
    <x v="1"/>
    <x v="2"/>
    <n v="1287"/>
    <x v="7"/>
    <x v="0"/>
  </r>
  <r>
    <x v="2"/>
    <x v="1"/>
    <x v="3"/>
    <n v="483"/>
    <x v="7"/>
    <x v="0"/>
  </r>
  <r>
    <x v="2"/>
    <x v="1"/>
    <x v="4"/>
    <n v="514"/>
    <x v="7"/>
    <x v="0"/>
  </r>
  <r>
    <x v="2"/>
    <x v="1"/>
    <x v="5"/>
    <n v="906"/>
    <x v="7"/>
    <x v="0"/>
  </r>
  <r>
    <x v="2"/>
    <x v="1"/>
    <x v="6"/>
    <n v="2144"/>
    <x v="7"/>
    <x v="0"/>
  </r>
  <r>
    <x v="2"/>
    <x v="1"/>
    <x v="7"/>
    <n v="1286"/>
    <x v="7"/>
    <x v="0"/>
  </r>
  <r>
    <x v="2"/>
    <x v="1"/>
    <x v="8"/>
    <n v="659"/>
    <x v="7"/>
    <x v="0"/>
  </r>
  <r>
    <x v="2"/>
    <x v="1"/>
    <x v="9"/>
    <n v="1134"/>
    <x v="7"/>
    <x v="0"/>
  </r>
  <r>
    <x v="2"/>
    <x v="1"/>
    <x v="10"/>
    <n v="1096"/>
    <x v="7"/>
    <x v="0"/>
  </r>
  <r>
    <x v="2"/>
    <x v="1"/>
    <x v="11"/>
    <n v="593"/>
    <x v="7"/>
    <x v="0"/>
  </r>
  <r>
    <x v="2"/>
    <x v="1"/>
    <x v="12"/>
    <n v="1869"/>
    <x v="7"/>
    <x v="0"/>
  </r>
  <r>
    <x v="2"/>
    <x v="1"/>
    <x v="13"/>
    <n v="1406"/>
    <x v="7"/>
    <x v="0"/>
  </r>
  <r>
    <x v="2"/>
    <x v="1"/>
    <x v="14"/>
    <n v="1513"/>
    <x v="7"/>
    <x v="0"/>
  </r>
  <r>
    <x v="2"/>
    <x v="1"/>
    <x v="15"/>
    <n v="942"/>
    <x v="7"/>
    <x v="0"/>
  </r>
  <r>
    <x v="2"/>
    <x v="1"/>
    <x v="16"/>
    <n v="159"/>
    <x v="7"/>
    <x v="0"/>
  </r>
  <r>
    <x v="2"/>
    <x v="1"/>
    <x v="17"/>
    <n v="3928"/>
    <x v="7"/>
    <x v="0"/>
  </r>
  <r>
    <x v="2"/>
    <x v="1"/>
    <x v="18"/>
    <n v="1445"/>
    <x v="7"/>
    <x v="0"/>
  </r>
  <r>
    <x v="2"/>
    <x v="1"/>
    <x v="19"/>
    <n v="3193"/>
    <x v="7"/>
    <x v="0"/>
  </r>
  <r>
    <x v="2"/>
    <x v="1"/>
    <x v="20"/>
    <n v="1375"/>
    <x v="7"/>
    <x v="0"/>
  </r>
  <r>
    <x v="2"/>
    <x v="1"/>
    <x v="21"/>
    <n v="383"/>
    <x v="7"/>
    <x v="0"/>
  </r>
  <r>
    <x v="2"/>
    <x v="1"/>
    <x v="22"/>
    <n v="2222"/>
    <x v="7"/>
    <x v="0"/>
  </r>
  <r>
    <x v="2"/>
    <x v="1"/>
    <x v="23"/>
    <n v="256"/>
    <x v="7"/>
    <x v="0"/>
  </r>
  <r>
    <x v="2"/>
    <x v="1"/>
    <x v="24"/>
    <n v="1306"/>
    <x v="7"/>
    <x v="0"/>
  </r>
  <r>
    <x v="2"/>
    <x v="1"/>
    <x v="25"/>
    <n v="10530"/>
    <x v="7"/>
    <x v="0"/>
  </r>
  <r>
    <x v="2"/>
    <x v="1"/>
    <x v="26"/>
    <n v="5623"/>
    <x v="7"/>
    <x v="0"/>
  </r>
  <r>
    <x v="2"/>
    <x v="1"/>
    <x v="27"/>
    <n v="4582"/>
    <x v="7"/>
    <x v="0"/>
  </r>
  <r>
    <x v="2"/>
    <x v="1"/>
    <x v="28"/>
    <n v="831"/>
    <x v="7"/>
    <x v="0"/>
  </r>
  <r>
    <x v="2"/>
    <x v="1"/>
    <x v="29"/>
    <n v="893"/>
    <x v="7"/>
    <x v="0"/>
  </r>
  <r>
    <x v="2"/>
    <x v="1"/>
    <x v="30"/>
    <n v="1873"/>
    <x v="7"/>
    <x v="0"/>
  </r>
  <r>
    <x v="2"/>
    <x v="1"/>
    <x v="31"/>
    <n v="652"/>
    <x v="7"/>
    <x v="0"/>
  </r>
  <r>
    <x v="2"/>
    <x v="1"/>
    <x v="32"/>
    <n v="1676"/>
    <x v="7"/>
    <x v="0"/>
  </r>
  <r>
    <x v="2"/>
    <x v="1"/>
    <x v="33"/>
    <n v="1662"/>
    <x v="7"/>
    <x v="0"/>
  </r>
  <r>
    <x v="2"/>
    <x v="1"/>
    <x v="34"/>
    <n v="480"/>
    <x v="7"/>
    <x v="0"/>
  </r>
  <r>
    <x v="2"/>
    <x v="1"/>
    <x v="35"/>
    <n v="1329"/>
    <x v="7"/>
    <x v="0"/>
  </r>
  <r>
    <x v="2"/>
    <x v="1"/>
    <x v="36"/>
    <n v="2615"/>
    <x v="7"/>
    <x v="0"/>
  </r>
  <r>
    <x v="2"/>
    <x v="8"/>
    <x v="0"/>
    <n v="56065"/>
    <x v="7"/>
    <x v="4"/>
  </r>
  <r>
    <x v="2"/>
    <x v="8"/>
    <x v="1"/>
    <n v="47111"/>
    <x v="7"/>
    <x v="4"/>
  </r>
  <r>
    <x v="2"/>
    <x v="8"/>
    <x v="2"/>
    <n v="54209"/>
    <x v="7"/>
    <x v="4"/>
  </r>
  <r>
    <x v="2"/>
    <x v="8"/>
    <x v="3"/>
    <n v="48337"/>
    <x v="7"/>
    <x v="4"/>
  </r>
  <r>
    <x v="2"/>
    <x v="8"/>
    <x v="4"/>
    <n v="45529"/>
    <x v="7"/>
    <x v="4"/>
  </r>
  <r>
    <x v="2"/>
    <x v="8"/>
    <x v="5"/>
    <n v="60739"/>
    <x v="7"/>
    <x v="4"/>
  </r>
  <r>
    <x v="2"/>
    <x v="8"/>
    <x v="6"/>
    <n v="63246"/>
    <x v="7"/>
    <x v="4"/>
  </r>
  <r>
    <x v="2"/>
    <x v="8"/>
    <x v="7"/>
    <n v="52953"/>
    <x v="7"/>
    <x v="4"/>
  </r>
  <r>
    <x v="2"/>
    <x v="8"/>
    <x v="8"/>
    <n v="66852"/>
    <x v="7"/>
    <x v="4"/>
  </r>
  <r>
    <x v="2"/>
    <x v="8"/>
    <x v="9"/>
    <n v="76577"/>
    <x v="7"/>
    <x v="4"/>
  </r>
  <r>
    <x v="2"/>
    <x v="8"/>
    <x v="10"/>
    <n v="85850"/>
    <x v="7"/>
    <x v="4"/>
  </r>
  <r>
    <x v="2"/>
    <x v="8"/>
    <x v="11"/>
    <n v="71455"/>
    <x v="7"/>
    <x v="4"/>
  </r>
  <r>
    <x v="2"/>
    <x v="8"/>
    <x v="12"/>
    <n v="83000"/>
    <x v="7"/>
    <x v="4"/>
  </r>
  <r>
    <x v="2"/>
    <x v="8"/>
    <x v="13"/>
    <n v="79497"/>
    <x v="7"/>
    <x v="4"/>
  </r>
  <r>
    <x v="2"/>
    <x v="8"/>
    <x v="14"/>
    <n v="89450"/>
    <x v="7"/>
    <x v="4"/>
  </r>
  <r>
    <x v="2"/>
    <x v="8"/>
    <x v="15"/>
    <n v="85464"/>
    <x v="7"/>
    <x v="4"/>
  </r>
  <r>
    <x v="2"/>
    <x v="8"/>
    <x v="16"/>
    <n v="87193"/>
    <x v="7"/>
    <x v="4"/>
  </r>
  <r>
    <x v="2"/>
    <x v="8"/>
    <x v="17"/>
    <n v="109990"/>
    <x v="7"/>
    <x v="4"/>
  </r>
  <r>
    <x v="2"/>
    <x v="8"/>
    <x v="18"/>
    <n v="106701"/>
    <x v="7"/>
    <x v="4"/>
  </r>
  <r>
    <x v="2"/>
    <x v="8"/>
    <x v="19"/>
    <n v="109403"/>
    <x v="7"/>
    <x v="4"/>
  </r>
  <r>
    <x v="2"/>
    <x v="8"/>
    <x v="20"/>
    <n v="137378"/>
    <x v="7"/>
    <x v="4"/>
  </r>
  <r>
    <x v="2"/>
    <x v="8"/>
    <x v="21"/>
    <n v="137217"/>
    <x v="7"/>
    <x v="4"/>
  </r>
  <r>
    <x v="2"/>
    <x v="8"/>
    <x v="22"/>
    <n v="150733"/>
    <x v="7"/>
    <x v="4"/>
  </r>
  <r>
    <x v="2"/>
    <x v="8"/>
    <x v="23"/>
    <n v="126789"/>
    <x v="7"/>
    <x v="4"/>
  </r>
  <r>
    <x v="2"/>
    <x v="8"/>
    <x v="24"/>
    <n v="186759"/>
    <x v="7"/>
    <x v="4"/>
  </r>
  <r>
    <x v="2"/>
    <x v="8"/>
    <x v="25"/>
    <n v="167279"/>
    <x v="7"/>
    <x v="4"/>
  </r>
  <r>
    <x v="2"/>
    <x v="8"/>
    <x v="26"/>
    <n v="187253"/>
    <x v="7"/>
    <x v="4"/>
  </r>
  <r>
    <x v="2"/>
    <x v="8"/>
    <x v="27"/>
    <n v="179896"/>
    <x v="7"/>
    <x v="4"/>
  </r>
  <r>
    <x v="2"/>
    <x v="8"/>
    <x v="28"/>
    <n v="180686"/>
    <x v="7"/>
    <x v="4"/>
  </r>
  <r>
    <x v="2"/>
    <x v="8"/>
    <x v="29"/>
    <n v="166256"/>
    <x v="7"/>
    <x v="4"/>
  </r>
  <r>
    <x v="2"/>
    <x v="8"/>
    <x v="30"/>
    <n v="195970"/>
    <x v="7"/>
    <x v="4"/>
  </r>
  <r>
    <x v="2"/>
    <x v="8"/>
    <x v="31"/>
    <n v="164340"/>
    <x v="7"/>
    <x v="4"/>
  </r>
  <r>
    <x v="2"/>
    <x v="8"/>
    <x v="32"/>
    <n v="175891"/>
    <x v="7"/>
    <x v="4"/>
  </r>
  <r>
    <x v="2"/>
    <x v="8"/>
    <x v="33"/>
    <n v="183623"/>
    <x v="7"/>
    <x v="4"/>
  </r>
  <r>
    <x v="2"/>
    <x v="8"/>
    <x v="34"/>
    <n v="236367"/>
    <x v="7"/>
    <x v="4"/>
  </r>
  <r>
    <x v="2"/>
    <x v="8"/>
    <x v="35"/>
    <n v="250193"/>
    <x v="7"/>
    <x v="4"/>
  </r>
  <r>
    <x v="2"/>
    <x v="8"/>
    <x v="36"/>
    <n v="231204"/>
    <x v="7"/>
    <x v="4"/>
  </r>
  <r>
    <x v="2"/>
    <x v="9"/>
    <x v="0"/>
    <n v="0"/>
    <x v="7"/>
    <x v="4"/>
  </r>
  <r>
    <x v="2"/>
    <x v="9"/>
    <x v="1"/>
    <n v="0"/>
    <x v="7"/>
    <x v="4"/>
  </r>
  <r>
    <x v="2"/>
    <x v="9"/>
    <x v="2"/>
    <n v="0"/>
    <x v="7"/>
    <x v="4"/>
  </r>
  <r>
    <x v="2"/>
    <x v="9"/>
    <x v="3"/>
    <n v="0"/>
    <x v="7"/>
    <x v="4"/>
  </r>
  <r>
    <x v="2"/>
    <x v="9"/>
    <x v="4"/>
    <n v="0"/>
    <x v="7"/>
    <x v="4"/>
  </r>
  <r>
    <x v="2"/>
    <x v="9"/>
    <x v="5"/>
    <n v="0"/>
    <x v="7"/>
    <x v="4"/>
  </r>
  <r>
    <x v="2"/>
    <x v="9"/>
    <x v="6"/>
    <n v="0"/>
    <x v="7"/>
    <x v="4"/>
  </r>
  <r>
    <x v="2"/>
    <x v="9"/>
    <x v="7"/>
    <n v="0"/>
    <x v="7"/>
    <x v="4"/>
  </r>
  <r>
    <x v="2"/>
    <x v="9"/>
    <x v="8"/>
    <n v="0"/>
    <x v="7"/>
    <x v="4"/>
  </r>
  <r>
    <x v="2"/>
    <x v="9"/>
    <x v="9"/>
    <n v="0"/>
    <x v="7"/>
    <x v="4"/>
  </r>
  <r>
    <x v="2"/>
    <x v="9"/>
    <x v="10"/>
    <n v="0"/>
    <x v="7"/>
    <x v="4"/>
  </r>
  <r>
    <x v="2"/>
    <x v="9"/>
    <x v="11"/>
    <n v="0"/>
    <x v="7"/>
    <x v="4"/>
  </r>
  <r>
    <x v="2"/>
    <x v="9"/>
    <x v="12"/>
    <n v="3"/>
    <x v="7"/>
    <x v="4"/>
  </r>
  <r>
    <x v="2"/>
    <x v="9"/>
    <x v="13"/>
    <n v="11"/>
    <x v="7"/>
    <x v="4"/>
  </r>
  <r>
    <x v="2"/>
    <x v="9"/>
    <x v="14"/>
    <n v="13"/>
    <x v="7"/>
    <x v="4"/>
  </r>
  <r>
    <x v="2"/>
    <x v="9"/>
    <x v="15"/>
    <n v="9"/>
    <x v="7"/>
    <x v="4"/>
  </r>
  <r>
    <x v="2"/>
    <x v="9"/>
    <x v="16"/>
    <n v="61"/>
    <x v="7"/>
    <x v="4"/>
  </r>
  <r>
    <x v="2"/>
    <x v="9"/>
    <x v="17"/>
    <n v="18"/>
    <x v="7"/>
    <x v="4"/>
  </r>
  <r>
    <x v="2"/>
    <x v="9"/>
    <x v="18"/>
    <n v="20"/>
    <x v="7"/>
    <x v="4"/>
  </r>
  <r>
    <x v="2"/>
    <x v="9"/>
    <x v="19"/>
    <n v="56"/>
    <x v="7"/>
    <x v="4"/>
  </r>
  <r>
    <x v="2"/>
    <x v="9"/>
    <x v="20"/>
    <n v="95"/>
    <x v="7"/>
    <x v="4"/>
  </r>
  <r>
    <x v="2"/>
    <x v="9"/>
    <x v="21"/>
    <n v="242"/>
    <x v="7"/>
    <x v="4"/>
  </r>
  <r>
    <x v="2"/>
    <x v="9"/>
    <x v="22"/>
    <n v="172"/>
    <x v="7"/>
    <x v="4"/>
  </r>
  <r>
    <x v="2"/>
    <x v="9"/>
    <x v="23"/>
    <n v="125"/>
    <x v="7"/>
    <x v="4"/>
  </r>
  <r>
    <x v="2"/>
    <x v="9"/>
    <x v="24"/>
    <n v="139"/>
    <x v="7"/>
    <x v="4"/>
  </r>
  <r>
    <x v="2"/>
    <x v="9"/>
    <x v="25"/>
    <n v="318"/>
    <x v="7"/>
    <x v="4"/>
  </r>
  <r>
    <x v="2"/>
    <x v="9"/>
    <x v="26"/>
    <n v="576"/>
    <x v="7"/>
    <x v="4"/>
  </r>
  <r>
    <x v="2"/>
    <x v="9"/>
    <x v="27"/>
    <n v="202"/>
    <x v="7"/>
    <x v="4"/>
  </r>
  <r>
    <x v="2"/>
    <x v="9"/>
    <x v="28"/>
    <n v="356"/>
    <x v="7"/>
    <x v="4"/>
  </r>
  <r>
    <x v="2"/>
    <x v="9"/>
    <x v="29"/>
    <n v="190"/>
    <x v="7"/>
    <x v="4"/>
  </r>
  <r>
    <x v="2"/>
    <x v="9"/>
    <x v="30"/>
    <n v="275"/>
    <x v="7"/>
    <x v="4"/>
  </r>
  <r>
    <x v="2"/>
    <x v="9"/>
    <x v="31"/>
    <n v="140"/>
    <x v="7"/>
    <x v="4"/>
  </r>
  <r>
    <x v="2"/>
    <x v="9"/>
    <x v="32"/>
    <n v="131"/>
    <x v="7"/>
    <x v="4"/>
  </r>
  <r>
    <x v="2"/>
    <x v="9"/>
    <x v="33"/>
    <n v="331"/>
    <x v="7"/>
    <x v="4"/>
  </r>
  <r>
    <x v="2"/>
    <x v="9"/>
    <x v="34"/>
    <n v="405"/>
    <x v="7"/>
    <x v="4"/>
  </r>
  <r>
    <x v="2"/>
    <x v="9"/>
    <x v="35"/>
    <n v="144"/>
    <x v="7"/>
    <x v="4"/>
  </r>
  <r>
    <x v="2"/>
    <x v="9"/>
    <x v="36"/>
    <n v="40"/>
    <x v="7"/>
    <x v="4"/>
  </r>
  <r>
    <x v="2"/>
    <x v="10"/>
    <x v="0"/>
    <n v="455"/>
    <x v="7"/>
    <x v="4"/>
  </r>
  <r>
    <x v="2"/>
    <x v="10"/>
    <x v="1"/>
    <n v="213"/>
    <x v="7"/>
    <x v="4"/>
  </r>
  <r>
    <x v="2"/>
    <x v="10"/>
    <x v="2"/>
    <n v="194"/>
    <x v="7"/>
    <x v="4"/>
  </r>
  <r>
    <x v="2"/>
    <x v="10"/>
    <x v="3"/>
    <n v="169"/>
    <x v="7"/>
    <x v="4"/>
  </r>
  <r>
    <x v="2"/>
    <x v="10"/>
    <x v="4"/>
    <n v="262"/>
    <x v="7"/>
    <x v="4"/>
  </r>
  <r>
    <x v="2"/>
    <x v="10"/>
    <x v="5"/>
    <n v="335"/>
    <x v="7"/>
    <x v="4"/>
  </r>
  <r>
    <x v="2"/>
    <x v="10"/>
    <x v="6"/>
    <n v="309"/>
    <x v="7"/>
    <x v="4"/>
  </r>
  <r>
    <x v="2"/>
    <x v="10"/>
    <x v="7"/>
    <n v="367"/>
    <x v="7"/>
    <x v="4"/>
  </r>
  <r>
    <x v="2"/>
    <x v="10"/>
    <x v="8"/>
    <n v="549"/>
    <x v="7"/>
    <x v="4"/>
  </r>
  <r>
    <x v="2"/>
    <x v="10"/>
    <x v="9"/>
    <n v="437"/>
    <x v="7"/>
    <x v="4"/>
  </r>
  <r>
    <x v="2"/>
    <x v="10"/>
    <x v="10"/>
    <n v="534"/>
    <x v="7"/>
    <x v="4"/>
  </r>
  <r>
    <x v="2"/>
    <x v="10"/>
    <x v="11"/>
    <n v="488"/>
    <x v="7"/>
    <x v="4"/>
  </r>
  <r>
    <x v="2"/>
    <x v="10"/>
    <x v="12"/>
    <n v="1056"/>
    <x v="7"/>
    <x v="4"/>
  </r>
  <r>
    <x v="2"/>
    <x v="10"/>
    <x v="13"/>
    <n v="1593"/>
    <x v="7"/>
    <x v="4"/>
  </r>
  <r>
    <x v="2"/>
    <x v="10"/>
    <x v="14"/>
    <n v="1623"/>
    <x v="7"/>
    <x v="4"/>
  </r>
  <r>
    <x v="2"/>
    <x v="10"/>
    <x v="15"/>
    <n v="1064"/>
    <x v="7"/>
    <x v="4"/>
  </r>
  <r>
    <x v="2"/>
    <x v="10"/>
    <x v="16"/>
    <n v="1819"/>
    <x v="7"/>
    <x v="4"/>
  </r>
  <r>
    <x v="2"/>
    <x v="10"/>
    <x v="17"/>
    <n v="1413"/>
    <x v="7"/>
    <x v="4"/>
  </r>
  <r>
    <x v="2"/>
    <x v="10"/>
    <x v="18"/>
    <n v="1380"/>
    <x v="7"/>
    <x v="4"/>
  </r>
  <r>
    <x v="2"/>
    <x v="10"/>
    <x v="19"/>
    <n v="1172"/>
    <x v="7"/>
    <x v="4"/>
  </r>
  <r>
    <x v="2"/>
    <x v="10"/>
    <x v="20"/>
    <n v="1479"/>
    <x v="7"/>
    <x v="4"/>
  </r>
  <r>
    <x v="2"/>
    <x v="10"/>
    <x v="21"/>
    <n v="2151"/>
    <x v="7"/>
    <x v="4"/>
  </r>
  <r>
    <x v="2"/>
    <x v="10"/>
    <x v="22"/>
    <n v="1871"/>
    <x v="7"/>
    <x v="4"/>
  </r>
  <r>
    <x v="2"/>
    <x v="10"/>
    <x v="23"/>
    <n v="1327"/>
    <x v="7"/>
    <x v="4"/>
  </r>
  <r>
    <x v="2"/>
    <x v="10"/>
    <x v="24"/>
    <n v="2252"/>
    <x v="7"/>
    <x v="4"/>
  </r>
  <r>
    <x v="2"/>
    <x v="10"/>
    <x v="25"/>
    <n v="1924"/>
    <x v="7"/>
    <x v="4"/>
  </r>
  <r>
    <x v="2"/>
    <x v="10"/>
    <x v="26"/>
    <n v="1635"/>
    <x v="7"/>
    <x v="4"/>
  </r>
  <r>
    <x v="2"/>
    <x v="10"/>
    <x v="27"/>
    <n v="1159"/>
    <x v="7"/>
    <x v="4"/>
  </r>
  <r>
    <x v="2"/>
    <x v="10"/>
    <x v="28"/>
    <n v="1146"/>
    <x v="7"/>
    <x v="4"/>
  </r>
  <r>
    <x v="2"/>
    <x v="10"/>
    <x v="29"/>
    <n v="2099"/>
    <x v="7"/>
    <x v="4"/>
  </r>
  <r>
    <x v="2"/>
    <x v="10"/>
    <x v="30"/>
    <n v="3523"/>
    <x v="7"/>
    <x v="4"/>
  </r>
  <r>
    <x v="2"/>
    <x v="10"/>
    <x v="31"/>
    <n v="2158"/>
    <x v="7"/>
    <x v="4"/>
  </r>
  <r>
    <x v="2"/>
    <x v="10"/>
    <x v="32"/>
    <n v="1528"/>
    <x v="7"/>
    <x v="4"/>
  </r>
  <r>
    <x v="2"/>
    <x v="10"/>
    <x v="33"/>
    <n v="1215"/>
    <x v="7"/>
    <x v="4"/>
  </r>
  <r>
    <x v="2"/>
    <x v="10"/>
    <x v="34"/>
    <n v="1615"/>
    <x v="7"/>
    <x v="4"/>
  </r>
  <r>
    <x v="2"/>
    <x v="10"/>
    <x v="35"/>
    <n v="1678"/>
    <x v="7"/>
    <x v="4"/>
  </r>
  <r>
    <x v="2"/>
    <x v="10"/>
    <x v="36"/>
    <n v="1385"/>
    <x v="7"/>
    <x v="4"/>
  </r>
  <r>
    <x v="2"/>
    <x v="2"/>
    <x v="0"/>
    <n v="0"/>
    <x v="7"/>
    <x v="0"/>
  </r>
  <r>
    <x v="2"/>
    <x v="2"/>
    <x v="1"/>
    <n v="0"/>
    <x v="7"/>
    <x v="0"/>
  </r>
  <r>
    <x v="2"/>
    <x v="2"/>
    <x v="2"/>
    <n v="0"/>
    <x v="7"/>
    <x v="0"/>
  </r>
  <r>
    <x v="2"/>
    <x v="2"/>
    <x v="3"/>
    <n v="0"/>
    <x v="7"/>
    <x v="0"/>
  </r>
  <r>
    <x v="2"/>
    <x v="2"/>
    <x v="4"/>
    <n v="0"/>
    <x v="7"/>
    <x v="0"/>
  </r>
  <r>
    <x v="2"/>
    <x v="2"/>
    <x v="5"/>
    <n v="0"/>
    <x v="7"/>
    <x v="0"/>
  </r>
  <r>
    <x v="2"/>
    <x v="2"/>
    <x v="6"/>
    <n v="0"/>
    <x v="7"/>
    <x v="0"/>
  </r>
  <r>
    <x v="2"/>
    <x v="2"/>
    <x v="7"/>
    <n v="0"/>
    <x v="7"/>
    <x v="0"/>
  </r>
  <r>
    <x v="2"/>
    <x v="2"/>
    <x v="8"/>
    <n v="18"/>
    <x v="7"/>
    <x v="0"/>
  </r>
  <r>
    <x v="2"/>
    <x v="2"/>
    <x v="9"/>
    <n v="0"/>
    <x v="7"/>
    <x v="0"/>
  </r>
  <r>
    <x v="2"/>
    <x v="2"/>
    <x v="10"/>
    <n v="0"/>
    <x v="7"/>
    <x v="0"/>
  </r>
  <r>
    <x v="2"/>
    <x v="2"/>
    <x v="11"/>
    <n v="0"/>
    <x v="7"/>
    <x v="0"/>
  </r>
  <r>
    <x v="2"/>
    <x v="2"/>
    <x v="12"/>
    <n v="0"/>
    <x v="7"/>
    <x v="0"/>
  </r>
  <r>
    <x v="2"/>
    <x v="2"/>
    <x v="13"/>
    <n v="0"/>
    <x v="7"/>
    <x v="0"/>
  </r>
  <r>
    <x v="2"/>
    <x v="2"/>
    <x v="14"/>
    <n v="0"/>
    <x v="7"/>
    <x v="0"/>
  </r>
  <r>
    <x v="2"/>
    <x v="2"/>
    <x v="15"/>
    <n v="0"/>
    <x v="7"/>
    <x v="0"/>
  </r>
  <r>
    <x v="2"/>
    <x v="2"/>
    <x v="16"/>
    <n v="117"/>
    <x v="7"/>
    <x v="0"/>
  </r>
  <r>
    <x v="2"/>
    <x v="2"/>
    <x v="17"/>
    <n v="208"/>
    <x v="7"/>
    <x v="0"/>
  </r>
  <r>
    <x v="2"/>
    <x v="2"/>
    <x v="18"/>
    <n v="302"/>
    <x v="7"/>
    <x v="0"/>
  </r>
  <r>
    <x v="2"/>
    <x v="2"/>
    <x v="19"/>
    <n v="141"/>
    <x v="7"/>
    <x v="0"/>
  </r>
  <r>
    <x v="2"/>
    <x v="2"/>
    <x v="20"/>
    <n v="15454"/>
    <x v="7"/>
    <x v="0"/>
  </r>
  <r>
    <x v="2"/>
    <x v="2"/>
    <x v="21"/>
    <n v="29012"/>
    <x v="7"/>
    <x v="0"/>
  </r>
  <r>
    <x v="2"/>
    <x v="2"/>
    <x v="22"/>
    <n v="176"/>
    <x v="7"/>
    <x v="0"/>
  </r>
  <r>
    <x v="2"/>
    <x v="2"/>
    <x v="23"/>
    <n v="13383"/>
    <x v="7"/>
    <x v="0"/>
  </r>
  <r>
    <x v="2"/>
    <x v="2"/>
    <x v="24"/>
    <n v="4558"/>
    <x v="7"/>
    <x v="0"/>
  </r>
  <r>
    <x v="2"/>
    <x v="2"/>
    <x v="25"/>
    <n v="7887"/>
    <x v="7"/>
    <x v="0"/>
  </r>
  <r>
    <x v="2"/>
    <x v="2"/>
    <x v="26"/>
    <n v="28791"/>
    <x v="7"/>
    <x v="0"/>
  </r>
  <r>
    <x v="2"/>
    <x v="2"/>
    <x v="27"/>
    <n v="151"/>
    <x v="7"/>
    <x v="0"/>
  </r>
  <r>
    <x v="2"/>
    <x v="2"/>
    <x v="28"/>
    <n v="164"/>
    <x v="7"/>
    <x v="0"/>
  </r>
  <r>
    <x v="2"/>
    <x v="2"/>
    <x v="29"/>
    <n v="36022"/>
    <x v="7"/>
    <x v="0"/>
  </r>
  <r>
    <x v="2"/>
    <x v="2"/>
    <x v="30"/>
    <n v="15601"/>
    <x v="7"/>
    <x v="0"/>
  </r>
  <r>
    <x v="2"/>
    <x v="2"/>
    <x v="31"/>
    <n v="50023"/>
    <x v="7"/>
    <x v="0"/>
  </r>
  <r>
    <x v="2"/>
    <x v="2"/>
    <x v="32"/>
    <n v="68219"/>
    <x v="7"/>
    <x v="0"/>
  </r>
  <r>
    <x v="2"/>
    <x v="2"/>
    <x v="33"/>
    <n v="73090"/>
    <x v="7"/>
    <x v="0"/>
  </r>
  <r>
    <x v="2"/>
    <x v="2"/>
    <x v="34"/>
    <n v="22778"/>
    <x v="7"/>
    <x v="0"/>
  </r>
  <r>
    <x v="2"/>
    <x v="2"/>
    <x v="35"/>
    <n v="3493"/>
    <x v="7"/>
    <x v="0"/>
  </r>
  <r>
    <x v="2"/>
    <x v="2"/>
    <x v="36"/>
    <n v="85050"/>
    <x v="7"/>
    <x v="0"/>
  </r>
  <r>
    <x v="2"/>
    <x v="11"/>
    <x v="0"/>
    <n v="0"/>
    <x v="3"/>
    <x v="0"/>
  </r>
  <r>
    <x v="2"/>
    <x v="11"/>
    <x v="1"/>
    <n v="0"/>
    <x v="3"/>
    <x v="0"/>
  </r>
  <r>
    <x v="2"/>
    <x v="11"/>
    <x v="2"/>
    <n v="0"/>
    <x v="3"/>
    <x v="0"/>
  </r>
  <r>
    <x v="2"/>
    <x v="11"/>
    <x v="3"/>
    <n v="0"/>
    <x v="3"/>
    <x v="0"/>
  </r>
  <r>
    <x v="2"/>
    <x v="11"/>
    <x v="4"/>
    <n v="0"/>
    <x v="3"/>
    <x v="0"/>
  </r>
  <r>
    <x v="2"/>
    <x v="11"/>
    <x v="5"/>
    <n v="0"/>
    <x v="3"/>
    <x v="0"/>
  </r>
  <r>
    <x v="2"/>
    <x v="11"/>
    <x v="6"/>
    <n v="0"/>
    <x v="3"/>
    <x v="0"/>
  </r>
  <r>
    <x v="2"/>
    <x v="11"/>
    <x v="7"/>
    <n v="0"/>
    <x v="3"/>
    <x v="0"/>
  </r>
  <r>
    <x v="2"/>
    <x v="11"/>
    <x v="8"/>
    <n v="0"/>
    <x v="3"/>
    <x v="0"/>
  </r>
  <r>
    <x v="2"/>
    <x v="11"/>
    <x v="9"/>
    <n v="0"/>
    <x v="3"/>
    <x v="0"/>
  </r>
  <r>
    <x v="2"/>
    <x v="11"/>
    <x v="10"/>
    <n v="0"/>
    <x v="3"/>
    <x v="0"/>
  </r>
  <r>
    <x v="2"/>
    <x v="11"/>
    <x v="11"/>
    <n v="0"/>
    <x v="3"/>
    <x v="0"/>
  </r>
  <r>
    <x v="2"/>
    <x v="11"/>
    <x v="12"/>
    <n v="0"/>
    <x v="3"/>
    <x v="0"/>
  </r>
  <r>
    <x v="2"/>
    <x v="11"/>
    <x v="13"/>
    <n v="0"/>
    <x v="3"/>
    <x v="0"/>
  </r>
  <r>
    <x v="2"/>
    <x v="11"/>
    <x v="14"/>
    <n v="0"/>
    <x v="3"/>
    <x v="0"/>
  </r>
  <r>
    <x v="2"/>
    <x v="11"/>
    <x v="15"/>
    <n v="0"/>
    <x v="3"/>
    <x v="0"/>
  </r>
  <r>
    <x v="2"/>
    <x v="11"/>
    <x v="16"/>
    <n v="0"/>
    <x v="3"/>
    <x v="0"/>
  </r>
  <r>
    <x v="2"/>
    <x v="11"/>
    <x v="17"/>
    <n v="0"/>
    <x v="3"/>
    <x v="0"/>
  </r>
  <r>
    <x v="2"/>
    <x v="11"/>
    <x v="18"/>
    <n v="0"/>
    <x v="3"/>
    <x v="0"/>
  </r>
  <r>
    <x v="2"/>
    <x v="11"/>
    <x v="19"/>
    <n v="0"/>
    <x v="3"/>
    <x v="0"/>
  </r>
  <r>
    <x v="2"/>
    <x v="11"/>
    <x v="20"/>
    <n v="0"/>
    <x v="3"/>
    <x v="0"/>
  </r>
  <r>
    <x v="2"/>
    <x v="11"/>
    <x v="21"/>
    <n v="0"/>
    <x v="3"/>
    <x v="0"/>
  </r>
  <r>
    <x v="2"/>
    <x v="11"/>
    <x v="22"/>
    <n v="0"/>
    <x v="3"/>
    <x v="0"/>
  </r>
  <r>
    <x v="2"/>
    <x v="11"/>
    <x v="23"/>
    <n v="0"/>
    <x v="3"/>
    <x v="0"/>
  </r>
  <r>
    <x v="2"/>
    <x v="11"/>
    <x v="24"/>
    <n v="0"/>
    <x v="3"/>
    <x v="0"/>
  </r>
  <r>
    <x v="2"/>
    <x v="11"/>
    <x v="25"/>
    <n v="0"/>
    <x v="3"/>
    <x v="0"/>
  </r>
  <r>
    <x v="2"/>
    <x v="11"/>
    <x v="26"/>
    <n v="0"/>
    <x v="3"/>
    <x v="0"/>
  </r>
  <r>
    <x v="2"/>
    <x v="11"/>
    <x v="27"/>
    <n v="0"/>
    <x v="3"/>
    <x v="0"/>
  </r>
  <r>
    <x v="2"/>
    <x v="11"/>
    <x v="28"/>
    <n v="0"/>
    <x v="3"/>
    <x v="0"/>
  </r>
  <r>
    <x v="2"/>
    <x v="11"/>
    <x v="29"/>
    <n v="0"/>
    <x v="3"/>
    <x v="0"/>
  </r>
  <r>
    <x v="2"/>
    <x v="11"/>
    <x v="30"/>
    <n v="0"/>
    <x v="3"/>
    <x v="0"/>
  </r>
  <r>
    <x v="2"/>
    <x v="11"/>
    <x v="31"/>
    <n v="0"/>
    <x v="3"/>
    <x v="0"/>
  </r>
  <r>
    <x v="2"/>
    <x v="11"/>
    <x v="32"/>
    <n v="0"/>
    <x v="3"/>
    <x v="0"/>
  </r>
  <r>
    <x v="2"/>
    <x v="11"/>
    <x v="33"/>
    <n v="0"/>
    <x v="3"/>
    <x v="0"/>
  </r>
  <r>
    <x v="2"/>
    <x v="11"/>
    <x v="34"/>
    <n v="0"/>
    <x v="3"/>
    <x v="0"/>
  </r>
  <r>
    <x v="2"/>
    <x v="11"/>
    <x v="35"/>
    <n v="0"/>
    <x v="3"/>
    <x v="0"/>
  </r>
  <r>
    <x v="2"/>
    <x v="11"/>
    <x v="36"/>
    <n v="0"/>
    <x v="3"/>
    <x v="0"/>
  </r>
  <r>
    <x v="2"/>
    <x v="12"/>
    <x v="0"/>
    <n v="0"/>
    <x v="3"/>
    <x v="0"/>
  </r>
  <r>
    <x v="2"/>
    <x v="12"/>
    <x v="1"/>
    <n v="0"/>
    <x v="3"/>
    <x v="0"/>
  </r>
  <r>
    <x v="2"/>
    <x v="12"/>
    <x v="2"/>
    <n v="0"/>
    <x v="3"/>
    <x v="0"/>
  </r>
  <r>
    <x v="2"/>
    <x v="12"/>
    <x v="3"/>
    <n v="0"/>
    <x v="3"/>
    <x v="0"/>
  </r>
  <r>
    <x v="2"/>
    <x v="12"/>
    <x v="4"/>
    <n v="0"/>
    <x v="3"/>
    <x v="0"/>
  </r>
  <r>
    <x v="2"/>
    <x v="12"/>
    <x v="5"/>
    <n v="0"/>
    <x v="3"/>
    <x v="0"/>
  </r>
  <r>
    <x v="2"/>
    <x v="12"/>
    <x v="6"/>
    <n v="0"/>
    <x v="3"/>
    <x v="0"/>
  </r>
  <r>
    <x v="2"/>
    <x v="12"/>
    <x v="7"/>
    <n v="0"/>
    <x v="3"/>
    <x v="0"/>
  </r>
  <r>
    <x v="2"/>
    <x v="12"/>
    <x v="8"/>
    <n v="0"/>
    <x v="3"/>
    <x v="0"/>
  </r>
  <r>
    <x v="2"/>
    <x v="12"/>
    <x v="9"/>
    <n v="0"/>
    <x v="3"/>
    <x v="0"/>
  </r>
  <r>
    <x v="2"/>
    <x v="12"/>
    <x v="10"/>
    <n v="0"/>
    <x v="3"/>
    <x v="0"/>
  </r>
  <r>
    <x v="2"/>
    <x v="12"/>
    <x v="11"/>
    <n v="0"/>
    <x v="3"/>
    <x v="0"/>
  </r>
  <r>
    <x v="2"/>
    <x v="12"/>
    <x v="12"/>
    <n v="0"/>
    <x v="3"/>
    <x v="0"/>
  </r>
  <r>
    <x v="2"/>
    <x v="12"/>
    <x v="13"/>
    <n v="0"/>
    <x v="3"/>
    <x v="0"/>
  </r>
  <r>
    <x v="2"/>
    <x v="12"/>
    <x v="14"/>
    <n v="0"/>
    <x v="3"/>
    <x v="0"/>
  </r>
  <r>
    <x v="2"/>
    <x v="12"/>
    <x v="15"/>
    <n v="0"/>
    <x v="3"/>
    <x v="0"/>
  </r>
  <r>
    <x v="2"/>
    <x v="12"/>
    <x v="16"/>
    <n v="0"/>
    <x v="3"/>
    <x v="0"/>
  </r>
  <r>
    <x v="2"/>
    <x v="12"/>
    <x v="17"/>
    <n v="0"/>
    <x v="3"/>
    <x v="0"/>
  </r>
  <r>
    <x v="2"/>
    <x v="12"/>
    <x v="18"/>
    <n v="0"/>
    <x v="3"/>
    <x v="0"/>
  </r>
  <r>
    <x v="2"/>
    <x v="12"/>
    <x v="19"/>
    <n v="0"/>
    <x v="3"/>
    <x v="0"/>
  </r>
  <r>
    <x v="2"/>
    <x v="12"/>
    <x v="20"/>
    <n v="0"/>
    <x v="3"/>
    <x v="0"/>
  </r>
  <r>
    <x v="2"/>
    <x v="12"/>
    <x v="21"/>
    <n v="0"/>
    <x v="3"/>
    <x v="0"/>
  </r>
  <r>
    <x v="2"/>
    <x v="12"/>
    <x v="22"/>
    <n v="0"/>
    <x v="3"/>
    <x v="0"/>
  </r>
  <r>
    <x v="2"/>
    <x v="12"/>
    <x v="23"/>
    <n v="0"/>
    <x v="3"/>
    <x v="0"/>
  </r>
  <r>
    <x v="2"/>
    <x v="12"/>
    <x v="24"/>
    <n v="0"/>
    <x v="3"/>
    <x v="0"/>
  </r>
  <r>
    <x v="2"/>
    <x v="12"/>
    <x v="25"/>
    <n v="0"/>
    <x v="3"/>
    <x v="0"/>
  </r>
  <r>
    <x v="2"/>
    <x v="12"/>
    <x v="26"/>
    <n v="0"/>
    <x v="3"/>
    <x v="0"/>
  </r>
  <r>
    <x v="2"/>
    <x v="12"/>
    <x v="27"/>
    <n v="0"/>
    <x v="3"/>
    <x v="0"/>
  </r>
  <r>
    <x v="2"/>
    <x v="12"/>
    <x v="28"/>
    <n v="0"/>
    <x v="3"/>
    <x v="0"/>
  </r>
  <r>
    <x v="2"/>
    <x v="12"/>
    <x v="29"/>
    <n v="0"/>
    <x v="3"/>
    <x v="0"/>
  </r>
  <r>
    <x v="2"/>
    <x v="12"/>
    <x v="30"/>
    <n v="0"/>
    <x v="3"/>
    <x v="0"/>
  </r>
  <r>
    <x v="2"/>
    <x v="12"/>
    <x v="31"/>
    <n v="0"/>
    <x v="3"/>
    <x v="0"/>
  </r>
  <r>
    <x v="2"/>
    <x v="12"/>
    <x v="32"/>
    <n v="0"/>
    <x v="3"/>
    <x v="0"/>
  </r>
  <r>
    <x v="2"/>
    <x v="12"/>
    <x v="33"/>
    <n v="0"/>
    <x v="3"/>
    <x v="0"/>
  </r>
  <r>
    <x v="2"/>
    <x v="12"/>
    <x v="34"/>
    <n v="0"/>
    <x v="3"/>
    <x v="0"/>
  </r>
  <r>
    <x v="2"/>
    <x v="12"/>
    <x v="35"/>
    <n v="0"/>
    <x v="3"/>
    <x v="0"/>
  </r>
  <r>
    <x v="2"/>
    <x v="12"/>
    <x v="36"/>
    <n v="0"/>
    <x v="3"/>
    <x v="0"/>
  </r>
  <r>
    <x v="2"/>
    <x v="13"/>
    <x v="0"/>
    <n v="0"/>
    <x v="3"/>
    <x v="0"/>
  </r>
  <r>
    <x v="2"/>
    <x v="13"/>
    <x v="1"/>
    <n v="0"/>
    <x v="3"/>
    <x v="0"/>
  </r>
  <r>
    <x v="2"/>
    <x v="13"/>
    <x v="2"/>
    <n v="0"/>
    <x v="3"/>
    <x v="0"/>
  </r>
  <r>
    <x v="2"/>
    <x v="13"/>
    <x v="3"/>
    <n v="0"/>
    <x v="3"/>
    <x v="0"/>
  </r>
  <r>
    <x v="2"/>
    <x v="13"/>
    <x v="4"/>
    <n v="0"/>
    <x v="3"/>
    <x v="0"/>
  </r>
  <r>
    <x v="2"/>
    <x v="13"/>
    <x v="5"/>
    <n v="0"/>
    <x v="3"/>
    <x v="0"/>
  </r>
  <r>
    <x v="2"/>
    <x v="13"/>
    <x v="6"/>
    <n v="0"/>
    <x v="3"/>
    <x v="0"/>
  </r>
  <r>
    <x v="2"/>
    <x v="13"/>
    <x v="7"/>
    <n v="0"/>
    <x v="3"/>
    <x v="0"/>
  </r>
  <r>
    <x v="2"/>
    <x v="13"/>
    <x v="8"/>
    <n v="0"/>
    <x v="3"/>
    <x v="0"/>
  </r>
  <r>
    <x v="2"/>
    <x v="13"/>
    <x v="9"/>
    <n v="0"/>
    <x v="3"/>
    <x v="0"/>
  </r>
  <r>
    <x v="2"/>
    <x v="13"/>
    <x v="10"/>
    <n v="0"/>
    <x v="3"/>
    <x v="0"/>
  </r>
  <r>
    <x v="2"/>
    <x v="13"/>
    <x v="11"/>
    <n v="0"/>
    <x v="3"/>
    <x v="0"/>
  </r>
  <r>
    <x v="2"/>
    <x v="13"/>
    <x v="12"/>
    <n v="0"/>
    <x v="3"/>
    <x v="0"/>
  </r>
  <r>
    <x v="2"/>
    <x v="13"/>
    <x v="13"/>
    <n v="0"/>
    <x v="3"/>
    <x v="0"/>
  </r>
  <r>
    <x v="2"/>
    <x v="13"/>
    <x v="14"/>
    <n v="0"/>
    <x v="3"/>
    <x v="0"/>
  </r>
  <r>
    <x v="2"/>
    <x v="13"/>
    <x v="15"/>
    <n v="0"/>
    <x v="3"/>
    <x v="0"/>
  </r>
  <r>
    <x v="2"/>
    <x v="13"/>
    <x v="16"/>
    <n v="0"/>
    <x v="3"/>
    <x v="0"/>
  </r>
  <r>
    <x v="2"/>
    <x v="13"/>
    <x v="17"/>
    <n v="0"/>
    <x v="3"/>
    <x v="0"/>
  </r>
  <r>
    <x v="2"/>
    <x v="13"/>
    <x v="18"/>
    <n v="0"/>
    <x v="3"/>
    <x v="0"/>
  </r>
  <r>
    <x v="2"/>
    <x v="13"/>
    <x v="19"/>
    <n v="0"/>
    <x v="3"/>
    <x v="0"/>
  </r>
  <r>
    <x v="2"/>
    <x v="13"/>
    <x v="20"/>
    <n v="0"/>
    <x v="3"/>
    <x v="0"/>
  </r>
  <r>
    <x v="2"/>
    <x v="13"/>
    <x v="21"/>
    <n v="0"/>
    <x v="3"/>
    <x v="0"/>
  </r>
  <r>
    <x v="2"/>
    <x v="13"/>
    <x v="22"/>
    <n v="0"/>
    <x v="3"/>
    <x v="0"/>
  </r>
  <r>
    <x v="2"/>
    <x v="13"/>
    <x v="23"/>
    <n v="0"/>
    <x v="3"/>
    <x v="0"/>
  </r>
  <r>
    <x v="2"/>
    <x v="13"/>
    <x v="24"/>
    <n v="0"/>
    <x v="3"/>
    <x v="0"/>
  </r>
  <r>
    <x v="2"/>
    <x v="13"/>
    <x v="25"/>
    <n v="0"/>
    <x v="3"/>
    <x v="0"/>
  </r>
  <r>
    <x v="2"/>
    <x v="13"/>
    <x v="26"/>
    <n v="0"/>
    <x v="3"/>
    <x v="0"/>
  </r>
  <r>
    <x v="2"/>
    <x v="13"/>
    <x v="27"/>
    <n v="0"/>
    <x v="3"/>
    <x v="0"/>
  </r>
  <r>
    <x v="2"/>
    <x v="13"/>
    <x v="28"/>
    <n v="0"/>
    <x v="3"/>
    <x v="0"/>
  </r>
  <r>
    <x v="2"/>
    <x v="13"/>
    <x v="29"/>
    <n v="0"/>
    <x v="3"/>
    <x v="0"/>
  </r>
  <r>
    <x v="2"/>
    <x v="13"/>
    <x v="30"/>
    <n v="0"/>
    <x v="3"/>
    <x v="0"/>
  </r>
  <r>
    <x v="2"/>
    <x v="13"/>
    <x v="31"/>
    <n v="0"/>
    <x v="3"/>
    <x v="0"/>
  </r>
  <r>
    <x v="2"/>
    <x v="13"/>
    <x v="32"/>
    <n v="0"/>
    <x v="3"/>
    <x v="0"/>
  </r>
  <r>
    <x v="2"/>
    <x v="13"/>
    <x v="33"/>
    <n v="0"/>
    <x v="3"/>
    <x v="0"/>
  </r>
  <r>
    <x v="2"/>
    <x v="13"/>
    <x v="34"/>
    <n v="0"/>
    <x v="3"/>
    <x v="0"/>
  </r>
  <r>
    <x v="2"/>
    <x v="13"/>
    <x v="35"/>
    <n v="0"/>
    <x v="3"/>
    <x v="0"/>
  </r>
  <r>
    <x v="2"/>
    <x v="13"/>
    <x v="36"/>
    <n v="0"/>
    <x v="3"/>
    <x v="0"/>
  </r>
  <r>
    <x v="2"/>
    <x v="14"/>
    <x v="0"/>
    <n v="0"/>
    <x v="3"/>
    <x v="0"/>
  </r>
  <r>
    <x v="2"/>
    <x v="14"/>
    <x v="1"/>
    <n v="0"/>
    <x v="3"/>
    <x v="0"/>
  </r>
  <r>
    <x v="2"/>
    <x v="14"/>
    <x v="2"/>
    <n v="0"/>
    <x v="3"/>
    <x v="0"/>
  </r>
  <r>
    <x v="2"/>
    <x v="14"/>
    <x v="3"/>
    <n v="0"/>
    <x v="3"/>
    <x v="0"/>
  </r>
  <r>
    <x v="2"/>
    <x v="14"/>
    <x v="4"/>
    <n v="0"/>
    <x v="3"/>
    <x v="0"/>
  </r>
  <r>
    <x v="2"/>
    <x v="14"/>
    <x v="5"/>
    <n v="0"/>
    <x v="3"/>
    <x v="0"/>
  </r>
  <r>
    <x v="2"/>
    <x v="14"/>
    <x v="6"/>
    <n v="0"/>
    <x v="3"/>
    <x v="0"/>
  </r>
  <r>
    <x v="2"/>
    <x v="14"/>
    <x v="7"/>
    <n v="0"/>
    <x v="3"/>
    <x v="0"/>
  </r>
  <r>
    <x v="2"/>
    <x v="14"/>
    <x v="8"/>
    <n v="0"/>
    <x v="3"/>
    <x v="0"/>
  </r>
  <r>
    <x v="2"/>
    <x v="14"/>
    <x v="9"/>
    <n v="0"/>
    <x v="3"/>
    <x v="0"/>
  </r>
  <r>
    <x v="2"/>
    <x v="14"/>
    <x v="10"/>
    <n v="0"/>
    <x v="3"/>
    <x v="0"/>
  </r>
  <r>
    <x v="2"/>
    <x v="14"/>
    <x v="11"/>
    <n v="0"/>
    <x v="3"/>
    <x v="0"/>
  </r>
  <r>
    <x v="2"/>
    <x v="14"/>
    <x v="12"/>
    <n v="0"/>
    <x v="3"/>
    <x v="0"/>
  </r>
  <r>
    <x v="2"/>
    <x v="14"/>
    <x v="13"/>
    <n v="0"/>
    <x v="3"/>
    <x v="0"/>
  </r>
  <r>
    <x v="2"/>
    <x v="14"/>
    <x v="14"/>
    <n v="0"/>
    <x v="3"/>
    <x v="0"/>
  </r>
  <r>
    <x v="2"/>
    <x v="14"/>
    <x v="15"/>
    <n v="0"/>
    <x v="3"/>
    <x v="0"/>
  </r>
  <r>
    <x v="2"/>
    <x v="14"/>
    <x v="16"/>
    <n v="0"/>
    <x v="3"/>
    <x v="0"/>
  </r>
  <r>
    <x v="2"/>
    <x v="14"/>
    <x v="17"/>
    <n v="0"/>
    <x v="3"/>
    <x v="0"/>
  </r>
  <r>
    <x v="2"/>
    <x v="14"/>
    <x v="18"/>
    <n v="0"/>
    <x v="3"/>
    <x v="0"/>
  </r>
  <r>
    <x v="2"/>
    <x v="14"/>
    <x v="19"/>
    <n v="0"/>
    <x v="3"/>
    <x v="0"/>
  </r>
  <r>
    <x v="2"/>
    <x v="14"/>
    <x v="20"/>
    <n v="0"/>
    <x v="3"/>
    <x v="0"/>
  </r>
  <r>
    <x v="2"/>
    <x v="14"/>
    <x v="21"/>
    <n v="0"/>
    <x v="3"/>
    <x v="0"/>
  </r>
  <r>
    <x v="2"/>
    <x v="14"/>
    <x v="22"/>
    <n v="0"/>
    <x v="3"/>
    <x v="0"/>
  </r>
  <r>
    <x v="2"/>
    <x v="14"/>
    <x v="23"/>
    <n v="0"/>
    <x v="3"/>
    <x v="0"/>
  </r>
  <r>
    <x v="2"/>
    <x v="14"/>
    <x v="24"/>
    <n v="0"/>
    <x v="3"/>
    <x v="0"/>
  </r>
  <r>
    <x v="2"/>
    <x v="14"/>
    <x v="25"/>
    <n v="0"/>
    <x v="3"/>
    <x v="0"/>
  </r>
  <r>
    <x v="2"/>
    <x v="14"/>
    <x v="26"/>
    <n v="0"/>
    <x v="3"/>
    <x v="0"/>
  </r>
  <r>
    <x v="2"/>
    <x v="14"/>
    <x v="27"/>
    <n v="0"/>
    <x v="3"/>
    <x v="0"/>
  </r>
  <r>
    <x v="2"/>
    <x v="14"/>
    <x v="28"/>
    <n v="0"/>
    <x v="3"/>
    <x v="0"/>
  </r>
  <r>
    <x v="2"/>
    <x v="14"/>
    <x v="29"/>
    <n v="0"/>
    <x v="3"/>
    <x v="0"/>
  </r>
  <r>
    <x v="2"/>
    <x v="14"/>
    <x v="30"/>
    <n v="0"/>
    <x v="3"/>
    <x v="0"/>
  </r>
  <r>
    <x v="2"/>
    <x v="14"/>
    <x v="31"/>
    <n v="0"/>
    <x v="3"/>
    <x v="0"/>
  </r>
  <r>
    <x v="2"/>
    <x v="14"/>
    <x v="32"/>
    <n v="0"/>
    <x v="3"/>
    <x v="0"/>
  </r>
  <r>
    <x v="2"/>
    <x v="14"/>
    <x v="33"/>
    <n v="0"/>
    <x v="3"/>
    <x v="0"/>
  </r>
  <r>
    <x v="2"/>
    <x v="14"/>
    <x v="34"/>
    <n v="0"/>
    <x v="3"/>
    <x v="0"/>
  </r>
  <r>
    <x v="2"/>
    <x v="14"/>
    <x v="35"/>
    <n v="0"/>
    <x v="3"/>
    <x v="0"/>
  </r>
  <r>
    <x v="2"/>
    <x v="14"/>
    <x v="36"/>
    <n v="0"/>
    <x v="3"/>
    <x v="0"/>
  </r>
  <r>
    <x v="2"/>
    <x v="17"/>
    <x v="0"/>
    <n v="0"/>
    <x v="4"/>
    <x v="0"/>
  </r>
  <r>
    <x v="2"/>
    <x v="17"/>
    <x v="1"/>
    <n v="1516"/>
    <x v="4"/>
    <x v="0"/>
  </r>
  <r>
    <x v="2"/>
    <x v="17"/>
    <x v="2"/>
    <n v="2383"/>
    <x v="4"/>
    <x v="0"/>
  </r>
  <r>
    <x v="2"/>
    <x v="17"/>
    <x v="3"/>
    <n v="0"/>
    <x v="4"/>
    <x v="0"/>
  </r>
  <r>
    <x v="2"/>
    <x v="17"/>
    <x v="4"/>
    <n v="0"/>
    <x v="4"/>
    <x v="0"/>
  </r>
  <r>
    <x v="2"/>
    <x v="17"/>
    <x v="5"/>
    <n v="8226"/>
    <x v="4"/>
    <x v="0"/>
  </r>
  <r>
    <x v="2"/>
    <x v="17"/>
    <x v="6"/>
    <n v="0"/>
    <x v="4"/>
    <x v="0"/>
  </r>
  <r>
    <x v="2"/>
    <x v="17"/>
    <x v="7"/>
    <n v="0"/>
    <x v="4"/>
    <x v="0"/>
  </r>
  <r>
    <x v="2"/>
    <x v="17"/>
    <x v="8"/>
    <n v="292"/>
    <x v="4"/>
    <x v="0"/>
  </r>
  <r>
    <x v="2"/>
    <x v="17"/>
    <x v="9"/>
    <n v="0"/>
    <x v="4"/>
    <x v="0"/>
  </r>
  <r>
    <x v="2"/>
    <x v="17"/>
    <x v="10"/>
    <n v="0"/>
    <x v="4"/>
    <x v="0"/>
  </r>
  <r>
    <x v="2"/>
    <x v="17"/>
    <x v="11"/>
    <n v="3765"/>
    <x v="4"/>
    <x v="0"/>
  </r>
  <r>
    <x v="2"/>
    <x v="17"/>
    <x v="12"/>
    <n v="0"/>
    <x v="4"/>
    <x v="0"/>
  </r>
  <r>
    <x v="2"/>
    <x v="17"/>
    <x v="13"/>
    <n v="388"/>
    <x v="4"/>
    <x v="0"/>
  </r>
  <r>
    <x v="2"/>
    <x v="17"/>
    <x v="14"/>
    <n v="354"/>
    <x v="4"/>
    <x v="0"/>
  </r>
  <r>
    <x v="2"/>
    <x v="17"/>
    <x v="15"/>
    <n v="4915"/>
    <x v="4"/>
    <x v="0"/>
  </r>
  <r>
    <x v="2"/>
    <x v="17"/>
    <x v="16"/>
    <n v="106"/>
    <x v="4"/>
    <x v="0"/>
  </r>
  <r>
    <x v="2"/>
    <x v="17"/>
    <x v="17"/>
    <n v="3"/>
    <x v="4"/>
    <x v="0"/>
  </r>
  <r>
    <x v="2"/>
    <x v="17"/>
    <x v="18"/>
    <n v="6032"/>
    <x v="4"/>
    <x v="0"/>
  </r>
  <r>
    <x v="2"/>
    <x v="17"/>
    <x v="19"/>
    <n v="1252"/>
    <x v="4"/>
    <x v="0"/>
  </r>
  <r>
    <x v="2"/>
    <x v="17"/>
    <x v="20"/>
    <n v="1528"/>
    <x v="4"/>
    <x v="0"/>
  </r>
  <r>
    <x v="2"/>
    <x v="17"/>
    <x v="21"/>
    <n v="22"/>
    <x v="4"/>
    <x v="0"/>
  </r>
  <r>
    <x v="2"/>
    <x v="17"/>
    <x v="22"/>
    <n v="259"/>
    <x v="4"/>
    <x v="0"/>
  </r>
  <r>
    <x v="2"/>
    <x v="17"/>
    <x v="23"/>
    <n v="1640"/>
    <x v="4"/>
    <x v="0"/>
  </r>
  <r>
    <x v="2"/>
    <x v="17"/>
    <x v="24"/>
    <n v="5709"/>
    <x v="4"/>
    <x v="0"/>
  </r>
  <r>
    <x v="2"/>
    <x v="17"/>
    <x v="25"/>
    <n v="232"/>
    <x v="4"/>
    <x v="0"/>
  </r>
  <r>
    <x v="2"/>
    <x v="17"/>
    <x v="26"/>
    <n v="3642"/>
    <x v="4"/>
    <x v="0"/>
  </r>
  <r>
    <x v="2"/>
    <x v="17"/>
    <x v="27"/>
    <n v="25"/>
    <x v="4"/>
    <x v="0"/>
  </r>
  <r>
    <x v="2"/>
    <x v="17"/>
    <x v="28"/>
    <n v="0"/>
    <x v="4"/>
    <x v="0"/>
  </r>
  <r>
    <x v="2"/>
    <x v="17"/>
    <x v="29"/>
    <n v="7621"/>
    <x v="4"/>
    <x v="0"/>
  </r>
  <r>
    <x v="2"/>
    <x v="17"/>
    <x v="30"/>
    <n v="1923"/>
    <x v="4"/>
    <x v="0"/>
  </r>
  <r>
    <x v="2"/>
    <x v="17"/>
    <x v="31"/>
    <n v="39"/>
    <x v="4"/>
    <x v="0"/>
  </r>
  <r>
    <x v="2"/>
    <x v="17"/>
    <x v="32"/>
    <n v="2156"/>
    <x v="4"/>
    <x v="0"/>
  </r>
  <r>
    <x v="2"/>
    <x v="17"/>
    <x v="33"/>
    <n v="8228"/>
    <x v="4"/>
    <x v="0"/>
  </r>
  <r>
    <x v="2"/>
    <x v="17"/>
    <x v="34"/>
    <n v="1793"/>
    <x v="4"/>
    <x v="0"/>
  </r>
  <r>
    <x v="2"/>
    <x v="17"/>
    <x v="35"/>
    <n v="15208"/>
    <x v="4"/>
    <x v="0"/>
  </r>
  <r>
    <x v="2"/>
    <x v="17"/>
    <x v="36"/>
    <n v="9302"/>
    <x v="4"/>
    <x v="0"/>
  </r>
  <r>
    <x v="2"/>
    <x v="18"/>
    <x v="0"/>
    <n v="0"/>
    <x v="4"/>
    <x v="0"/>
  </r>
  <r>
    <x v="2"/>
    <x v="18"/>
    <x v="1"/>
    <n v="0"/>
    <x v="4"/>
    <x v="0"/>
  </r>
  <r>
    <x v="2"/>
    <x v="18"/>
    <x v="2"/>
    <n v="0"/>
    <x v="4"/>
    <x v="0"/>
  </r>
  <r>
    <x v="2"/>
    <x v="18"/>
    <x v="3"/>
    <n v="0"/>
    <x v="4"/>
    <x v="0"/>
  </r>
  <r>
    <x v="2"/>
    <x v="18"/>
    <x v="4"/>
    <n v="0"/>
    <x v="4"/>
    <x v="0"/>
  </r>
  <r>
    <x v="2"/>
    <x v="18"/>
    <x v="5"/>
    <n v="0"/>
    <x v="4"/>
    <x v="0"/>
  </r>
  <r>
    <x v="2"/>
    <x v="18"/>
    <x v="6"/>
    <n v="0"/>
    <x v="4"/>
    <x v="0"/>
  </r>
  <r>
    <x v="2"/>
    <x v="18"/>
    <x v="7"/>
    <n v="0"/>
    <x v="4"/>
    <x v="0"/>
  </r>
  <r>
    <x v="2"/>
    <x v="18"/>
    <x v="8"/>
    <n v="0"/>
    <x v="4"/>
    <x v="0"/>
  </r>
  <r>
    <x v="2"/>
    <x v="18"/>
    <x v="9"/>
    <n v="0"/>
    <x v="4"/>
    <x v="0"/>
  </r>
  <r>
    <x v="2"/>
    <x v="18"/>
    <x v="10"/>
    <n v="0"/>
    <x v="4"/>
    <x v="0"/>
  </r>
  <r>
    <x v="2"/>
    <x v="18"/>
    <x v="11"/>
    <n v="0"/>
    <x v="4"/>
    <x v="0"/>
  </r>
  <r>
    <x v="2"/>
    <x v="18"/>
    <x v="12"/>
    <n v="0"/>
    <x v="4"/>
    <x v="0"/>
  </r>
  <r>
    <x v="2"/>
    <x v="18"/>
    <x v="13"/>
    <n v="0"/>
    <x v="4"/>
    <x v="0"/>
  </r>
  <r>
    <x v="2"/>
    <x v="18"/>
    <x v="14"/>
    <n v="0"/>
    <x v="4"/>
    <x v="0"/>
  </r>
  <r>
    <x v="2"/>
    <x v="18"/>
    <x v="15"/>
    <n v="0"/>
    <x v="4"/>
    <x v="0"/>
  </r>
  <r>
    <x v="2"/>
    <x v="18"/>
    <x v="16"/>
    <n v="4"/>
    <x v="4"/>
    <x v="0"/>
  </r>
  <r>
    <x v="2"/>
    <x v="18"/>
    <x v="17"/>
    <n v="0"/>
    <x v="4"/>
    <x v="0"/>
  </r>
  <r>
    <x v="2"/>
    <x v="18"/>
    <x v="18"/>
    <n v="0"/>
    <x v="4"/>
    <x v="0"/>
  </r>
  <r>
    <x v="2"/>
    <x v="18"/>
    <x v="19"/>
    <n v="0"/>
    <x v="4"/>
    <x v="0"/>
  </r>
  <r>
    <x v="2"/>
    <x v="18"/>
    <x v="20"/>
    <n v="0"/>
    <x v="4"/>
    <x v="0"/>
  </r>
  <r>
    <x v="2"/>
    <x v="18"/>
    <x v="21"/>
    <n v="0"/>
    <x v="4"/>
    <x v="0"/>
  </r>
  <r>
    <x v="2"/>
    <x v="18"/>
    <x v="22"/>
    <n v="0"/>
    <x v="4"/>
    <x v="0"/>
  </r>
  <r>
    <x v="2"/>
    <x v="18"/>
    <x v="23"/>
    <n v="0"/>
    <x v="4"/>
    <x v="0"/>
  </r>
  <r>
    <x v="2"/>
    <x v="18"/>
    <x v="24"/>
    <n v="0"/>
    <x v="4"/>
    <x v="0"/>
  </r>
  <r>
    <x v="2"/>
    <x v="18"/>
    <x v="25"/>
    <n v="0"/>
    <x v="4"/>
    <x v="0"/>
  </r>
  <r>
    <x v="2"/>
    <x v="18"/>
    <x v="26"/>
    <n v="0"/>
    <x v="4"/>
    <x v="0"/>
  </r>
  <r>
    <x v="2"/>
    <x v="18"/>
    <x v="27"/>
    <n v="0"/>
    <x v="4"/>
    <x v="0"/>
  </r>
  <r>
    <x v="2"/>
    <x v="18"/>
    <x v="28"/>
    <n v="28"/>
    <x v="4"/>
    <x v="0"/>
  </r>
  <r>
    <x v="2"/>
    <x v="18"/>
    <x v="29"/>
    <n v="0"/>
    <x v="4"/>
    <x v="0"/>
  </r>
  <r>
    <x v="2"/>
    <x v="18"/>
    <x v="30"/>
    <n v="0"/>
    <x v="4"/>
    <x v="0"/>
  </r>
  <r>
    <x v="2"/>
    <x v="18"/>
    <x v="31"/>
    <n v="0"/>
    <x v="4"/>
    <x v="0"/>
  </r>
  <r>
    <x v="2"/>
    <x v="18"/>
    <x v="32"/>
    <n v="0"/>
    <x v="4"/>
    <x v="0"/>
  </r>
  <r>
    <x v="2"/>
    <x v="18"/>
    <x v="33"/>
    <n v="0"/>
    <x v="4"/>
    <x v="0"/>
  </r>
  <r>
    <x v="2"/>
    <x v="18"/>
    <x v="34"/>
    <n v="232"/>
    <x v="4"/>
    <x v="0"/>
  </r>
  <r>
    <x v="2"/>
    <x v="18"/>
    <x v="35"/>
    <n v="0"/>
    <x v="4"/>
    <x v="0"/>
  </r>
  <r>
    <x v="2"/>
    <x v="18"/>
    <x v="36"/>
    <n v="0"/>
    <x v="4"/>
    <x v="0"/>
  </r>
  <r>
    <x v="2"/>
    <x v="19"/>
    <x v="0"/>
    <n v="0"/>
    <x v="4"/>
    <x v="0"/>
  </r>
  <r>
    <x v="2"/>
    <x v="19"/>
    <x v="1"/>
    <n v="1817"/>
    <x v="4"/>
    <x v="0"/>
  </r>
  <r>
    <x v="2"/>
    <x v="19"/>
    <x v="2"/>
    <n v="1447"/>
    <x v="4"/>
    <x v="0"/>
  </r>
  <r>
    <x v="2"/>
    <x v="19"/>
    <x v="3"/>
    <n v="2771"/>
    <x v="4"/>
    <x v="0"/>
  </r>
  <r>
    <x v="2"/>
    <x v="19"/>
    <x v="4"/>
    <n v="7370"/>
    <x v="4"/>
    <x v="0"/>
  </r>
  <r>
    <x v="2"/>
    <x v="19"/>
    <x v="5"/>
    <n v="2800"/>
    <x v="4"/>
    <x v="0"/>
  </r>
  <r>
    <x v="2"/>
    <x v="19"/>
    <x v="6"/>
    <n v="3123"/>
    <x v="4"/>
    <x v="0"/>
  </r>
  <r>
    <x v="2"/>
    <x v="19"/>
    <x v="7"/>
    <n v="3653"/>
    <x v="4"/>
    <x v="0"/>
  </r>
  <r>
    <x v="2"/>
    <x v="19"/>
    <x v="8"/>
    <n v="3494"/>
    <x v="4"/>
    <x v="0"/>
  </r>
  <r>
    <x v="2"/>
    <x v="19"/>
    <x v="9"/>
    <n v="2984"/>
    <x v="4"/>
    <x v="0"/>
  </r>
  <r>
    <x v="2"/>
    <x v="19"/>
    <x v="10"/>
    <n v="5393"/>
    <x v="4"/>
    <x v="0"/>
  </r>
  <r>
    <x v="2"/>
    <x v="19"/>
    <x v="11"/>
    <n v="3490"/>
    <x v="4"/>
    <x v="0"/>
  </r>
  <r>
    <x v="2"/>
    <x v="19"/>
    <x v="12"/>
    <n v="4010"/>
    <x v="4"/>
    <x v="0"/>
  </r>
  <r>
    <x v="2"/>
    <x v="19"/>
    <x v="13"/>
    <n v="8574"/>
    <x v="4"/>
    <x v="0"/>
  </r>
  <r>
    <x v="2"/>
    <x v="19"/>
    <x v="14"/>
    <n v="11085"/>
    <x v="4"/>
    <x v="0"/>
  </r>
  <r>
    <x v="2"/>
    <x v="19"/>
    <x v="15"/>
    <n v="1691"/>
    <x v="4"/>
    <x v="0"/>
  </r>
  <r>
    <x v="2"/>
    <x v="19"/>
    <x v="16"/>
    <n v="1334"/>
    <x v="4"/>
    <x v="0"/>
  </r>
  <r>
    <x v="2"/>
    <x v="19"/>
    <x v="17"/>
    <n v="0"/>
    <x v="4"/>
    <x v="0"/>
  </r>
  <r>
    <x v="2"/>
    <x v="19"/>
    <x v="18"/>
    <n v="4652"/>
    <x v="4"/>
    <x v="0"/>
  </r>
  <r>
    <x v="2"/>
    <x v="19"/>
    <x v="19"/>
    <n v="3455"/>
    <x v="4"/>
    <x v="0"/>
  </r>
  <r>
    <x v="2"/>
    <x v="19"/>
    <x v="20"/>
    <n v="149"/>
    <x v="4"/>
    <x v="0"/>
  </r>
  <r>
    <x v="2"/>
    <x v="19"/>
    <x v="21"/>
    <n v="89"/>
    <x v="4"/>
    <x v="0"/>
  </r>
  <r>
    <x v="2"/>
    <x v="19"/>
    <x v="22"/>
    <n v="2854"/>
    <x v="4"/>
    <x v="0"/>
  </r>
  <r>
    <x v="2"/>
    <x v="19"/>
    <x v="23"/>
    <n v="860"/>
    <x v="4"/>
    <x v="0"/>
  </r>
  <r>
    <x v="2"/>
    <x v="19"/>
    <x v="24"/>
    <n v="651"/>
    <x v="4"/>
    <x v="0"/>
  </r>
  <r>
    <x v="2"/>
    <x v="19"/>
    <x v="25"/>
    <n v="127"/>
    <x v="4"/>
    <x v="0"/>
  </r>
  <r>
    <x v="2"/>
    <x v="19"/>
    <x v="26"/>
    <n v="2953"/>
    <x v="4"/>
    <x v="0"/>
  </r>
  <r>
    <x v="2"/>
    <x v="19"/>
    <x v="27"/>
    <n v="2868"/>
    <x v="4"/>
    <x v="0"/>
  </r>
  <r>
    <x v="2"/>
    <x v="19"/>
    <x v="28"/>
    <n v="0"/>
    <x v="4"/>
    <x v="0"/>
  </r>
  <r>
    <x v="2"/>
    <x v="19"/>
    <x v="29"/>
    <n v="0"/>
    <x v="4"/>
    <x v="0"/>
  </r>
  <r>
    <x v="2"/>
    <x v="19"/>
    <x v="30"/>
    <n v="1077"/>
    <x v="4"/>
    <x v="0"/>
  </r>
  <r>
    <x v="2"/>
    <x v="19"/>
    <x v="31"/>
    <n v="3511"/>
    <x v="4"/>
    <x v="0"/>
  </r>
  <r>
    <x v="2"/>
    <x v="19"/>
    <x v="32"/>
    <n v="2344"/>
    <x v="4"/>
    <x v="0"/>
  </r>
  <r>
    <x v="2"/>
    <x v="19"/>
    <x v="33"/>
    <n v="650"/>
    <x v="4"/>
    <x v="0"/>
  </r>
  <r>
    <x v="2"/>
    <x v="19"/>
    <x v="34"/>
    <n v="1045"/>
    <x v="4"/>
    <x v="0"/>
  </r>
  <r>
    <x v="2"/>
    <x v="19"/>
    <x v="35"/>
    <n v="3477"/>
    <x v="4"/>
    <x v="0"/>
  </r>
  <r>
    <x v="2"/>
    <x v="19"/>
    <x v="36"/>
    <n v="475"/>
    <x v="4"/>
    <x v="0"/>
  </r>
  <r>
    <x v="2"/>
    <x v="20"/>
    <x v="0"/>
    <n v="0"/>
    <x v="4"/>
    <x v="0"/>
  </r>
  <r>
    <x v="2"/>
    <x v="20"/>
    <x v="1"/>
    <n v="480"/>
    <x v="4"/>
    <x v="0"/>
  </r>
  <r>
    <x v="2"/>
    <x v="20"/>
    <x v="2"/>
    <n v="2618"/>
    <x v="4"/>
    <x v="0"/>
  </r>
  <r>
    <x v="2"/>
    <x v="20"/>
    <x v="3"/>
    <n v="905"/>
    <x v="4"/>
    <x v="0"/>
  </r>
  <r>
    <x v="2"/>
    <x v="20"/>
    <x v="4"/>
    <n v="3234"/>
    <x v="4"/>
    <x v="0"/>
  </r>
  <r>
    <x v="2"/>
    <x v="20"/>
    <x v="5"/>
    <n v="2470"/>
    <x v="4"/>
    <x v="0"/>
  </r>
  <r>
    <x v="2"/>
    <x v="20"/>
    <x v="6"/>
    <n v="12273"/>
    <x v="4"/>
    <x v="0"/>
  </r>
  <r>
    <x v="2"/>
    <x v="20"/>
    <x v="7"/>
    <n v="17390"/>
    <x v="4"/>
    <x v="0"/>
  </r>
  <r>
    <x v="2"/>
    <x v="20"/>
    <x v="8"/>
    <n v="203"/>
    <x v="4"/>
    <x v="0"/>
  </r>
  <r>
    <x v="2"/>
    <x v="20"/>
    <x v="9"/>
    <n v="0"/>
    <x v="4"/>
    <x v="0"/>
  </r>
  <r>
    <x v="2"/>
    <x v="20"/>
    <x v="10"/>
    <n v="10"/>
    <x v="4"/>
    <x v="0"/>
  </r>
  <r>
    <x v="2"/>
    <x v="20"/>
    <x v="11"/>
    <n v="206"/>
    <x v="4"/>
    <x v="0"/>
  </r>
  <r>
    <x v="2"/>
    <x v="20"/>
    <x v="12"/>
    <n v="282"/>
    <x v="4"/>
    <x v="0"/>
  </r>
  <r>
    <x v="2"/>
    <x v="20"/>
    <x v="13"/>
    <n v="9"/>
    <x v="4"/>
    <x v="0"/>
  </r>
  <r>
    <x v="2"/>
    <x v="20"/>
    <x v="14"/>
    <n v="4"/>
    <x v="4"/>
    <x v="0"/>
  </r>
  <r>
    <x v="2"/>
    <x v="20"/>
    <x v="15"/>
    <n v="0"/>
    <x v="4"/>
    <x v="0"/>
  </r>
  <r>
    <x v="2"/>
    <x v="20"/>
    <x v="16"/>
    <n v="0"/>
    <x v="4"/>
    <x v="0"/>
  </r>
  <r>
    <x v="2"/>
    <x v="20"/>
    <x v="17"/>
    <n v="0"/>
    <x v="4"/>
    <x v="0"/>
  </r>
  <r>
    <x v="2"/>
    <x v="20"/>
    <x v="18"/>
    <n v="788"/>
    <x v="4"/>
    <x v="0"/>
  </r>
  <r>
    <x v="2"/>
    <x v="20"/>
    <x v="19"/>
    <n v="0"/>
    <x v="4"/>
    <x v="0"/>
  </r>
  <r>
    <x v="2"/>
    <x v="20"/>
    <x v="20"/>
    <n v="0"/>
    <x v="4"/>
    <x v="0"/>
  </r>
  <r>
    <x v="2"/>
    <x v="20"/>
    <x v="21"/>
    <n v="0"/>
    <x v="4"/>
    <x v="0"/>
  </r>
  <r>
    <x v="2"/>
    <x v="20"/>
    <x v="22"/>
    <n v="0"/>
    <x v="4"/>
    <x v="0"/>
  </r>
  <r>
    <x v="2"/>
    <x v="20"/>
    <x v="23"/>
    <n v="0"/>
    <x v="4"/>
    <x v="0"/>
  </r>
  <r>
    <x v="2"/>
    <x v="20"/>
    <x v="24"/>
    <n v="0"/>
    <x v="4"/>
    <x v="0"/>
  </r>
  <r>
    <x v="2"/>
    <x v="20"/>
    <x v="25"/>
    <n v="0"/>
    <x v="4"/>
    <x v="0"/>
  </r>
  <r>
    <x v="2"/>
    <x v="20"/>
    <x v="26"/>
    <n v="0"/>
    <x v="4"/>
    <x v="0"/>
  </r>
  <r>
    <x v="2"/>
    <x v="20"/>
    <x v="27"/>
    <n v="0"/>
    <x v="4"/>
    <x v="0"/>
  </r>
  <r>
    <x v="2"/>
    <x v="20"/>
    <x v="28"/>
    <n v="0"/>
    <x v="4"/>
    <x v="0"/>
  </r>
  <r>
    <x v="2"/>
    <x v="20"/>
    <x v="29"/>
    <n v="0"/>
    <x v="4"/>
    <x v="0"/>
  </r>
  <r>
    <x v="2"/>
    <x v="20"/>
    <x v="30"/>
    <n v="0"/>
    <x v="4"/>
    <x v="0"/>
  </r>
  <r>
    <x v="2"/>
    <x v="20"/>
    <x v="31"/>
    <n v="0"/>
    <x v="4"/>
    <x v="0"/>
  </r>
  <r>
    <x v="2"/>
    <x v="20"/>
    <x v="32"/>
    <n v="0"/>
    <x v="4"/>
    <x v="0"/>
  </r>
  <r>
    <x v="2"/>
    <x v="20"/>
    <x v="33"/>
    <n v="0"/>
    <x v="4"/>
    <x v="0"/>
  </r>
  <r>
    <x v="2"/>
    <x v="20"/>
    <x v="34"/>
    <n v="26"/>
    <x v="4"/>
    <x v="0"/>
  </r>
  <r>
    <x v="2"/>
    <x v="20"/>
    <x v="35"/>
    <n v="0"/>
    <x v="4"/>
    <x v="0"/>
  </r>
  <r>
    <x v="2"/>
    <x v="20"/>
    <x v="36"/>
    <n v="0"/>
    <x v="4"/>
    <x v="0"/>
  </r>
  <r>
    <x v="2"/>
    <x v="21"/>
    <x v="0"/>
    <n v="0"/>
    <x v="0"/>
    <x v="0"/>
  </r>
  <r>
    <x v="2"/>
    <x v="21"/>
    <x v="1"/>
    <n v="0"/>
    <x v="0"/>
    <x v="0"/>
  </r>
  <r>
    <x v="2"/>
    <x v="21"/>
    <x v="2"/>
    <n v="0"/>
    <x v="0"/>
    <x v="0"/>
  </r>
  <r>
    <x v="2"/>
    <x v="21"/>
    <x v="3"/>
    <n v="0"/>
    <x v="0"/>
    <x v="0"/>
  </r>
  <r>
    <x v="2"/>
    <x v="21"/>
    <x v="4"/>
    <n v="0"/>
    <x v="0"/>
    <x v="0"/>
  </r>
  <r>
    <x v="2"/>
    <x v="21"/>
    <x v="5"/>
    <n v="0"/>
    <x v="0"/>
    <x v="0"/>
  </r>
  <r>
    <x v="2"/>
    <x v="21"/>
    <x v="6"/>
    <n v="0"/>
    <x v="0"/>
    <x v="0"/>
  </r>
  <r>
    <x v="2"/>
    <x v="21"/>
    <x v="7"/>
    <n v="0"/>
    <x v="0"/>
    <x v="0"/>
  </r>
  <r>
    <x v="2"/>
    <x v="21"/>
    <x v="8"/>
    <n v="0"/>
    <x v="0"/>
    <x v="0"/>
  </r>
  <r>
    <x v="2"/>
    <x v="21"/>
    <x v="9"/>
    <n v="0"/>
    <x v="0"/>
    <x v="0"/>
  </r>
  <r>
    <x v="2"/>
    <x v="21"/>
    <x v="10"/>
    <n v="0"/>
    <x v="0"/>
    <x v="0"/>
  </r>
  <r>
    <x v="2"/>
    <x v="21"/>
    <x v="11"/>
    <n v="0"/>
    <x v="0"/>
    <x v="0"/>
  </r>
  <r>
    <x v="2"/>
    <x v="21"/>
    <x v="12"/>
    <n v="0"/>
    <x v="0"/>
    <x v="0"/>
  </r>
  <r>
    <x v="2"/>
    <x v="21"/>
    <x v="13"/>
    <n v="0"/>
    <x v="0"/>
    <x v="0"/>
  </r>
  <r>
    <x v="2"/>
    <x v="21"/>
    <x v="14"/>
    <n v="0"/>
    <x v="0"/>
    <x v="0"/>
  </r>
  <r>
    <x v="2"/>
    <x v="21"/>
    <x v="15"/>
    <n v="0"/>
    <x v="0"/>
    <x v="0"/>
  </r>
  <r>
    <x v="2"/>
    <x v="21"/>
    <x v="16"/>
    <n v="0"/>
    <x v="0"/>
    <x v="0"/>
  </r>
  <r>
    <x v="2"/>
    <x v="21"/>
    <x v="17"/>
    <n v="0"/>
    <x v="0"/>
    <x v="0"/>
  </r>
  <r>
    <x v="2"/>
    <x v="21"/>
    <x v="18"/>
    <n v="0"/>
    <x v="0"/>
    <x v="0"/>
  </r>
  <r>
    <x v="2"/>
    <x v="21"/>
    <x v="19"/>
    <n v="0"/>
    <x v="0"/>
    <x v="0"/>
  </r>
  <r>
    <x v="2"/>
    <x v="21"/>
    <x v="20"/>
    <n v="0"/>
    <x v="0"/>
    <x v="0"/>
  </r>
  <r>
    <x v="2"/>
    <x v="21"/>
    <x v="21"/>
    <n v="0"/>
    <x v="0"/>
    <x v="0"/>
  </r>
  <r>
    <x v="2"/>
    <x v="21"/>
    <x v="22"/>
    <n v="0"/>
    <x v="0"/>
    <x v="0"/>
  </r>
  <r>
    <x v="2"/>
    <x v="21"/>
    <x v="23"/>
    <n v="0"/>
    <x v="0"/>
    <x v="0"/>
  </r>
  <r>
    <x v="2"/>
    <x v="21"/>
    <x v="24"/>
    <n v="0"/>
    <x v="0"/>
    <x v="0"/>
  </r>
  <r>
    <x v="2"/>
    <x v="21"/>
    <x v="25"/>
    <n v="0"/>
    <x v="0"/>
    <x v="0"/>
  </r>
  <r>
    <x v="2"/>
    <x v="21"/>
    <x v="26"/>
    <n v="0"/>
    <x v="0"/>
    <x v="0"/>
  </r>
  <r>
    <x v="2"/>
    <x v="21"/>
    <x v="27"/>
    <n v="0"/>
    <x v="0"/>
    <x v="0"/>
  </r>
  <r>
    <x v="2"/>
    <x v="21"/>
    <x v="28"/>
    <n v="0"/>
    <x v="0"/>
    <x v="0"/>
  </r>
  <r>
    <x v="2"/>
    <x v="21"/>
    <x v="29"/>
    <n v="0"/>
    <x v="0"/>
    <x v="0"/>
  </r>
  <r>
    <x v="2"/>
    <x v="21"/>
    <x v="30"/>
    <n v="0"/>
    <x v="0"/>
    <x v="0"/>
  </r>
  <r>
    <x v="2"/>
    <x v="21"/>
    <x v="31"/>
    <n v="0"/>
    <x v="0"/>
    <x v="0"/>
  </r>
  <r>
    <x v="2"/>
    <x v="21"/>
    <x v="32"/>
    <n v="0"/>
    <x v="0"/>
    <x v="0"/>
  </r>
  <r>
    <x v="2"/>
    <x v="21"/>
    <x v="33"/>
    <n v="0"/>
    <x v="0"/>
    <x v="0"/>
  </r>
  <r>
    <x v="2"/>
    <x v="21"/>
    <x v="34"/>
    <n v="0"/>
    <x v="0"/>
    <x v="0"/>
  </r>
  <r>
    <x v="2"/>
    <x v="21"/>
    <x v="35"/>
    <n v="0"/>
    <x v="0"/>
    <x v="0"/>
  </r>
  <r>
    <x v="2"/>
    <x v="21"/>
    <x v="36"/>
    <n v="0"/>
    <x v="0"/>
    <x v="0"/>
  </r>
  <r>
    <x v="2"/>
    <x v="22"/>
    <x v="0"/>
    <n v="0"/>
    <x v="0"/>
    <x v="0"/>
  </r>
  <r>
    <x v="2"/>
    <x v="22"/>
    <x v="1"/>
    <n v="0"/>
    <x v="0"/>
    <x v="0"/>
  </r>
  <r>
    <x v="2"/>
    <x v="22"/>
    <x v="2"/>
    <n v="0"/>
    <x v="0"/>
    <x v="0"/>
  </r>
  <r>
    <x v="2"/>
    <x v="22"/>
    <x v="3"/>
    <n v="0"/>
    <x v="0"/>
    <x v="0"/>
  </r>
  <r>
    <x v="2"/>
    <x v="22"/>
    <x v="4"/>
    <n v="0"/>
    <x v="0"/>
    <x v="0"/>
  </r>
  <r>
    <x v="2"/>
    <x v="22"/>
    <x v="5"/>
    <n v="0"/>
    <x v="0"/>
    <x v="0"/>
  </r>
  <r>
    <x v="2"/>
    <x v="22"/>
    <x v="6"/>
    <n v="0"/>
    <x v="0"/>
    <x v="0"/>
  </r>
  <r>
    <x v="2"/>
    <x v="22"/>
    <x v="7"/>
    <n v="0"/>
    <x v="0"/>
    <x v="0"/>
  </r>
  <r>
    <x v="2"/>
    <x v="22"/>
    <x v="8"/>
    <n v="0"/>
    <x v="0"/>
    <x v="0"/>
  </r>
  <r>
    <x v="2"/>
    <x v="22"/>
    <x v="9"/>
    <n v="0"/>
    <x v="0"/>
    <x v="0"/>
  </r>
  <r>
    <x v="2"/>
    <x v="22"/>
    <x v="10"/>
    <n v="0"/>
    <x v="0"/>
    <x v="0"/>
  </r>
  <r>
    <x v="2"/>
    <x v="22"/>
    <x v="11"/>
    <n v="0"/>
    <x v="0"/>
    <x v="0"/>
  </r>
  <r>
    <x v="2"/>
    <x v="22"/>
    <x v="12"/>
    <n v="0"/>
    <x v="0"/>
    <x v="0"/>
  </r>
  <r>
    <x v="2"/>
    <x v="22"/>
    <x v="13"/>
    <n v="0"/>
    <x v="0"/>
    <x v="0"/>
  </r>
  <r>
    <x v="2"/>
    <x v="22"/>
    <x v="14"/>
    <n v="0"/>
    <x v="0"/>
    <x v="0"/>
  </r>
  <r>
    <x v="2"/>
    <x v="22"/>
    <x v="15"/>
    <n v="0"/>
    <x v="0"/>
    <x v="0"/>
  </r>
  <r>
    <x v="2"/>
    <x v="22"/>
    <x v="16"/>
    <n v="0"/>
    <x v="0"/>
    <x v="0"/>
  </r>
  <r>
    <x v="2"/>
    <x v="22"/>
    <x v="17"/>
    <n v="0"/>
    <x v="0"/>
    <x v="0"/>
  </r>
  <r>
    <x v="2"/>
    <x v="22"/>
    <x v="18"/>
    <n v="0"/>
    <x v="0"/>
    <x v="0"/>
  </r>
  <r>
    <x v="2"/>
    <x v="22"/>
    <x v="19"/>
    <n v="0"/>
    <x v="0"/>
    <x v="0"/>
  </r>
  <r>
    <x v="2"/>
    <x v="22"/>
    <x v="20"/>
    <n v="0"/>
    <x v="0"/>
    <x v="0"/>
  </r>
  <r>
    <x v="2"/>
    <x v="22"/>
    <x v="21"/>
    <n v="0"/>
    <x v="0"/>
    <x v="0"/>
  </r>
  <r>
    <x v="2"/>
    <x v="22"/>
    <x v="22"/>
    <n v="0"/>
    <x v="0"/>
    <x v="0"/>
  </r>
  <r>
    <x v="2"/>
    <x v="22"/>
    <x v="23"/>
    <n v="0"/>
    <x v="0"/>
    <x v="0"/>
  </r>
  <r>
    <x v="2"/>
    <x v="22"/>
    <x v="24"/>
    <n v="0"/>
    <x v="0"/>
    <x v="0"/>
  </r>
  <r>
    <x v="2"/>
    <x v="22"/>
    <x v="25"/>
    <n v="0"/>
    <x v="0"/>
    <x v="0"/>
  </r>
  <r>
    <x v="2"/>
    <x v="22"/>
    <x v="26"/>
    <n v="0"/>
    <x v="0"/>
    <x v="0"/>
  </r>
  <r>
    <x v="2"/>
    <x v="22"/>
    <x v="27"/>
    <n v="0"/>
    <x v="0"/>
    <x v="0"/>
  </r>
  <r>
    <x v="2"/>
    <x v="22"/>
    <x v="28"/>
    <n v="3"/>
    <x v="0"/>
    <x v="0"/>
  </r>
  <r>
    <x v="2"/>
    <x v="22"/>
    <x v="29"/>
    <n v="3"/>
    <x v="0"/>
    <x v="0"/>
  </r>
  <r>
    <x v="2"/>
    <x v="22"/>
    <x v="30"/>
    <n v="3"/>
    <x v="0"/>
    <x v="0"/>
  </r>
  <r>
    <x v="2"/>
    <x v="22"/>
    <x v="31"/>
    <n v="3"/>
    <x v="0"/>
    <x v="0"/>
  </r>
  <r>
    <x v="2"/>
    <x v="22"/>
    <x v="32"/>
    <n v="0"/>
    <x v="0"/>
    <x v="0"/>
  </r>
  <r>
    <x v="2"/>
    <x v="22"/>
    <x v="33"/>
    <n v="4"/>
    <x v="0"/>
    <x v="0"/>
  </r>
  <r>
    <x v="2"/>
    <x v="22"/>
    <x v="34"/>
    <n v="0"/>
    <x v="0"/>
    <x v="0"/>
  </r>
  <r>
    <x v="2"/>
    <x v="22"/>
    <x v="35"/>
    <n v="0"/>
    <x v="0"/>
    <x v="0"/>
  </r>
  <r>
    <x v="2"/>
    <x v="22"/>
    <x v="36"/>
    <n v="0"/>
    <x v="0"/>
    <x v="0"/>
  </r>
  <r>
    <x v="2"/>
    <x v="23"/>
    <x v="0"/>
    <n v="104547"/>
    <x v="8"/>
    <x v="4"/>
  </r>
  <r>
    <x v="2"/>
    <x v="23"/>
    <x v="1"/>
    <n v="91755"/>
    <x v="8"/>
    <x v="4"/>
  </r>
  <r>
    <x v="2"/>
    <x v="23"/>
    <x v="2"/>
    <n v="105333"/>
    <x v="8"/>
    <x v="4"/>
  </r>
  <r>
    <x v="2"/>
    <x v="23"/>
    <x v="3"/>
    <n v="89375"/>
    <x v="8"/>
    <x v="4"/>
  </r>
  <r>
    <x v="2"/>
    <x v="23"/>
    <x v="4"/>
    <n v="81068"/>
    <x v="8"/>
    <x v="4"/>
  </r>
  <r>
    <x v="2"/>
    <x v="23"/>
    <x v="5"/>
    <n v="108298"/>
    <x v="8"/>
    <x v="4"/>
  </r>
  <r>
    <x v="2"/>
    <x v="23"/>
    <x v="6"/>
    <n v="122947"/>
    <x v="8"/>
    <x v="4"/>
  </r>
  <r>
    <x v="2"/>
    <x v="23"/>
    <x v="7"/>
    <n v="109770"/>
    <x v="8"/>
    <x v="4"/>
  </r>
  <r>
    <x v="2"/>
    <x v="23"/>
    <x v="8"/>
    <n v="122726"/>
    <x v="8"/>
    <x v="4"/>
  </r>
  <r>
    <x v="2"/>
    <x v="23"/>
    <x v="9"/>
    <n v="152115"/>
    <x v="8"/>
    <x v="4"/>
  </r>
  <r>
    <x v="2"/>
    <x v="23"/>
    <x v="10"/>
    <n v="148752"/>
    <x v="8"/>
    <x v="4"/>
  </r>
  <r>
    <x v="2"/>
    <x v="23"/>
    <x v="11"/>
    <n v="141313"/>
    <x v="8"/>
    <x v="4"/>
  </r>
  <r>
    <x v="2"/>
    <x v="23"/>
    <x v="12"/>
    <n v="155572"/>
    <x v="8"/>
    <x v="4"/>
  </r>
  <r>
    <x v="2"/>
    <x v="23"/>
    <x v="13"/>
    <n v="165213"/>
    <x v="8"/>
    <x v="4"/>
  </r>
  <r>
    <x v="2"/>
    <x v="23"/>
    <x v="14"/>
    <n v="167824"/>
    <x v="8"/>
    <x v="4"/>
  </r>
  <r>
    <x v="2"/>
    <x v="23"/>
    <x v="15"/>
    <n v="168175"/>
    <x v="8"/>
    <x v="4"/>
  </r>
  <r>
    <x v="2"/>
    <x v="23"/>
    <x v="16"/>
    <n v="189746"/>
    <x v="8"/>
    <x v="4"/>
  </r>
  <r>
    <x v="2"/>
    <x v="23"/>
    <x v="17"/>
    <n v="150476"/>
    <x v="8"/>
    <x v="4"/>
  </r>
  <r>
    <x v="2"/>
    <x v="23"/>
    <x v="18"/>
    <n v="219545"/>
    <x v="8"/>
    <x v="4"/>
  </r>
  <r>
    <x v="2"/>
    <x v="23"/>
    <x v="19"/>
    <n v="177538"/>
    <x v="8"/>
    <x v="4"/>
  </r>
  <r>
    <x v="2"/>
    <x v="23"/>
    <x v="20"/>
    <n v="228108"/>
    <x v="8"/>
    <x v="4"/>
  </r>
  <r>
    <x v="2"/>
    <x v="23"/>
    <x v="21"/>
    <n v="233049"/>
    <x v="8"/>
    <x v="4"/>
  </r>
  <r>
    <x v="2"/>
    <x v="23"/>
    <x v="22"/>
    <n v="267321"/>
    <x v="8"/>
    <x v="4"/>
  </r>
  <r>
    <x v="2"/>
    <x v="23"/>
    <x v="23"/>
    <n v="227440"/>
    <x v="8"/>
    <x v="4"/>
  </r>
  <r>
    <x v="2"/>
    <x v="23"/>
    <x v="24"/>
    <n v="282921"/>
    <x v="8"/>
    <x v="4"/>
  </r>
  <r>
    <x v="2"/>
    <x v="23"/>
    <x v="25"/>
    <n v="298310"/>
    <x v="8"/>
    <x v="4"/>
  </r>
  <r>
    <x v="2"/>
    <x v="23"/>
    <x v="26"/>
    <n v="320169"/>
    <x v="8"/>
    <x v="4"/>
  </r>
  <r>
    <x v="2"/>
    <x v="23"/>
    <x v="27"/>
    <n v="323485"/>
    <x v="8"/>
    <x v="4"/>
  </r>
  <r>
    <x v="2"/>
    <x v="23"/>
    <x v="28"/>
    <n v="338528"/>
    <x v="8"/>
    <x v="4"/>
  </r>
  <r>
    <x v="2"/>
    <x v="23"/>
    <x v="29"/>
    <n v="355761"/>
    <x v="8"/>
    <x v="4"/>
  </r>
  <r>
    <x v="2"/>
    <x v="23"/>
    <x v="30"/>
    <n v="387915"/>
    <x v="8"/>
    <x v="4"/>
  </r>
  <r>
    <x v="2"/>
    <x v="23"/>
    <x v="31"/>
    <n v="353250"/>
    <x v="8"/>
    <x v="4"/>
  </r>
  <r>
    <x v="2"/>
    <x v="23"/>
    <x v="32"/>
    <n v="399341"/>
    <x v="8"/>
    <x v="4"/>
  </r>
  <r>
    <x v="2"/>
    <x v="23"/>
    <x v="33"/>
    <n v="455331"/>
    <x v="8"/>
    <x v="4"/>
  </r>
  <r>
    <x v="2"/>
    <x v="23"/>
    <x v="34"/>
    <n v="419420"/>
    <x v="8"/>
    <x v="4"/>
  </r>
  <r>
    <x v="2"/>
    <x v="23"/>
    <x v="35"/>
    <n v="423068"/>
    <x v="8"/>
    <x v="4"/>
  </r>
  <r>
    <x v="2"/>
    <x v="23"/>
    <x v="36"/>
    <n v="473671"/>
    <x v="8"/>
    <x v="4"/>
  </r>
  <r>
    <x v="2"/>
    <x v="24"/>
    <x v="0"/>
    <n v="484"/>
    <x v="8"/>
    <x v="4"/>
  </r>
  <r>
    <x v="2"/>
    <x v="24"/>
    <x v="1"/>
    <n v="414"/>
    <x v="8"/>
    <x v="4"/>
  </r>
  <r>
    <x v="2"/>
    <x v="24"/>
    <x v="2"/>
    <n v="451"/>
    <x v="8"/>
    <x v="4"/>
  </r>
  <r>
    <x v="2"/>
    <x v="24"/>
    <x v="3"/>
    <n v="387"/>
    <x v="8"/>
    <x v="4"/>
  </r>
  <r>
    <x v="2"/>
    <x v="24"/>
    <x v="4"/>
    <n v="823"/>
    <x v="8"/>
    <x v="4"/>
  </r>
  <r>
    <x v="2"/>
    <x v="24"/>
    <x v="5"/>
    <n v="1039"/>
    <x v="8"/>
    <x v="4"/>
  </r>
  <r>
    <x v="2"/>
    <x v="24"/>
    <x v="6"/>
    <n v="1360"/>
    <x v="8"/>
    <x v="4"/>
  </r>
  <r>
    <x v="2"/>
    <x v="24"/>
    <x v="7"/>
    <n v="1037"/>
    <x v="8"/>
    <x v="4"/>
  </r>
  <r>
    <x v="2"/>
    <x v="24"/>
    <x v="8"/>
    <n v="2325"/>
    <x v="8"/>
    <x v="4"/>
  </r>
  <r>
    <x v="2"/>
    <x v="24"/>
    <x v="9"/>
    <n v="2519"/>
    <x v="8"/>
    <x v="4"/>
  </r>
  <r>
    <x v="2"/>
    <x v="24"/>
    <x v="10"/>
    <n v="2359"/>
    <x v="8"/>
    <x v="4"/>
  </r>
  <r>
    <x v="2"/>
    <x v="24"/>
    <x v="11"/>
    <n v="1816"/>
    <x v="8"/>
    <x v="4"/>
  </r>
  <r>
    <x v="2"/>
    <x v="24"/>
    <x v="12"/>
    <n v="3929"/>
    <x v="8"/>
    <x v="4"/>
  </r>
  <r>
    <x v="2"/>
    <x v="24"/>
    <x v="13"/>
    <n v="4353"/>
    <x v="8"/>
    <x v="4"/>
  </r>
  <r>
    <x v="2"/>
    <x v="24"/>
    <x v="14"/>
    <n v="3916"/>
    <x v="8"/>
    <x v="4"/>
  </r>
  <r>
    <x v="2"/>
    <x v="24"/>
    <x v="15"/>
    <n v="3907"/>
    <x v="8"/>
    <x v="4"/>
  </r>
  <r>
    <x v="2"/>
    <x v="24"/>
    <x v="16"/>
    <n v="5742"/>
    <x v="8"/>
    <x v="4"/>
  </r>
  <r>
    <x v="2"/>
    <x v="24"/>
    <x v="17"/>
    <n v="5016"/>
    <x v="8"/>
    <x v="4"/>
  </r>
  <r>
    <x v="2"/>
    <x v="24"/>
    <x v="18"/>
    <n v="5433"/>
    <x v="8"/>
    <x v="4"/>
  </r>
  <r>
    <x v="2"/>
    <x v="24"/>
    <x v="19"/>
    <n v="5359"/>
    <x v="8"/>
    <x v="4"/>
  </r>
  <r>
    <x v="2"/>
    <x v="24"/>
    <x v="20"/>
    <n v="7296"/>
    <x v="8"/>
    <x v="4"/>
  </r>
  <r>
    <x v="2"/>
    <x v="24"/>
    <x v="21"/>
    <n v="8334"/>
    <x v="8"/>
    <x v="4"/>
  </r>
  <r>
    <x v="2"/>
    <x v="24"/>
    <x v="22"/>
    <n v="8389"/>
    <x v="8"/>
    <x v="4"/>
  </r>
  <r>
    <x v="2"/>
    <x v="24"/>
    <x v="23"/>
    <n v="7400"/>
    <x v="8"/>
    <x v="4"/>
  </r>
  <r>
    <x v="2"/>
    <x v="24"/>
    <x v="24"/>
    <n v="10154"/>
    <x v="8"/>
    <x v="4"/>
  </r>
  <r>
    <x v="2"/>
    <x v="24"/>
    <x v="25"/>
    <n v="10011"/>
    <x v="8"/>
    <x v="4"/>
  </r>
  <r>
    <x v="2"/>
    <x v="24"/>
    <x v="26"/>
    <n v="10378"/>
    <x v="8"/>
    <x v="4"/>
  </r>
  <r>
    <x v="2"/>
    <x v="24"/>
    <x v="27"/>
    <n v="8804"/>
    <x v="8"/>
    <x v="4"/>
  </r>
  <r>
    <x v="2"/>
    <x v="24"/>
    <x v="28"/>
    <n v="6553"/>
    <x v="8"/>
    <x v="4"/>
  </r>
  <r>
    <x v="2"/>
    <x v="24"/>
    <x v="29"/>
    <n v="9353"/>
    <x v="8"/>
    <x v="4"/>
  </r>
  <r>
    <x v="2"/>
    <x v="24"/>
    <x v="30"/>
    <n v="13275"/>
    <x v="8"/>
    <x v="4"/>
  </r>
  <r>
    <x v="2"/>
    <x v="24"/>
    <x v="31"/>
    <n v="9356"/>
    <x v="8"/>
    <x v="4"/>
  </r>
  <r>
    <x v="2"/>
    <x v="24"/>
    <x v="32"/>
    <n v="11500"/>
    <x v="8"/>
    <x v="4"/>
  </r>
  <r>
    <x v="2"/>
    <x v="24"/>
    <x v="33"/>
    <n v="13552"/>
    <x v="8"/>
    <x v="4"/>
  </r>
  <r>
    <x v="2"/>
    <x v="24"/>
    <x v="34"/>
    <n v="12222"/>
    <x v="8"/>
    <x v="4"/>
  </r>
  <r>
    <x v="2"/>
    <x v="24"/>
    <x v="35"/>
    <n v="10847"/>
    <x v="8"/>
    <x v="4"/>
  </r>
  <r>
    <x v="2"/>
    <x v="24"/>
    <x v="36"/>
    <n v="13001"/>
    <x v="8"/>
    <x v="4"/>
  </r>
  <r>
    <x v="2"/>
    <x v="25"/>
    <x v="0"/>
    <n v="0"/>
    <x v="9"/>
    <x v="0"/>
  </r>
  <r>
    <x v="2"/>
    <x v="25"/>
    <x v="1"/>
    <n v="0"/>
    <x v="9"/>
    <x v="0"/>
  </r>
  <r>
    <x v="2"/>
    <x v="25"/>
    <x v="2"/>
    <n v="0"/>
    <x v="9"/>
    <x v="0"/>
  </r>
  <r>
    <x v="2"/>
    <x v="25"/>
    <x v="3"/>
    <n v="0"/>
    <x v="9"/>
    <x v="0"/>
  </r>
  <r>
    <x v="2"/>
    <x v="25"/>
    <x v="4"/>
    <n v="0"/>
    <x v="9"/>
    <x v="0"/>
  </r>
  <r>
    <x v="2"/>
    <x v="25"/>
    <x v="5"/>
    <n v="0"/>
    <x v="9"/>
    <x v="0"/>
  </r>
  <r>
    <x v="2"/>
    <x v="25"/>
    <x v="6"/>
    <n v="0"/>
    <x v="9"/>
    <x v="0"/>
  </r>
  <r>
    <x v="2"/>
    <x v="25"/>
    <x v="7"/>
    <n v="0"/>
    <x v="9"/>
    <x v="0"/>
  </r>
  <r>
    <x v="2"/>
    <x v="25"/>
    <x v="8"/>
    <n v="0"/>
    <x v="9"/>
    <x v="0"/>
  </r>
  <r>
    <x v="2"/>
    <x v="25"/>
    <x v="9"/>
    <n v="0"/>
    <x v="9"/>
    <x v="0"/>
  </r>
  <r>
    <x v="2"/>
    <x v="25"/>
    <x v="10"/>
    <n v="0"/>
    <x v="9"/>
    <x v="0"/>
  </r>
  <r>
    <x v="2"/>
    <x v="25"/>
    <x v="11"/>
    <n v="0"/>
    <x v="9"/>
    <x v="0"/>
  </r>
  <r>
    <x v="2"/>
    <x v="25"/>
    <x v="12"/>
    <n v="0"/>
    <x v="9"/>
    <x v="0"/>
  </r>
  <r>
    <x v="2"/>
    <x v="25"/>
    <x v="13"/>
    <n v="0"/>
    <x v="9"/>
    <x v="0"/>
  </r>
  <r>
    <x v="2"/>
    <x v="25"/>
    <x v="14"/>
    <n v="0"/>
    <x v="9"/>
    <x v="0"/>
  </r>
  <r>
    <x v="2"/>
    <x v="25"/>
    <x v="15"/>
    <n v="0"/>
    <x v="9"/>
    <x v="0"/>
  </r>
  <r>
    <x v="2"/>
    <x v="25"/>
    <x v="16"/>
    <n v="0"/>
    <x v="9"/>
    <x v="0"/>
  </r>
  <r>
    <x v="2"/>
    <x v="25"/>
    <x v="17"/>
    <n v="0"/>
    <x v="9"/>
    <x v="0"/>
  </r>
  <r>
    <x v="2"/>
    <x v="25"/>
    <x v="18"/>
    <n v="0"/>
    <x v="9"/>
    <x v="0"/>
  </r>
  <r>
    <x v="2"/>
    <x v="25"/>
    <x v="19"/>
    <n v="0"/>
    <x v="9"/>
    <x v="0"/>
  </r>
  <r>
    <x v="2"/>
    <x v="25"/>
    <x v="20"/>
    <n v="0"/>
    <x v="9"/>
    <x v="0"/>
  </r>
  <r>
    <x v="2"/>
    <x v="25"/>
    <x v="21"/>
    <n v="0"/>
    <x v="9"/>
    <x v="0"/>
  </r>
  <r>
    <x v="2"/>
    <x v="25"/>
    <x v="22"/>
    <n v="0"/>
    <x v="9"/>
    <x v="0"/>
  </r>
  <r>
    <x v="2"/>
    <x v="25"/>
    <x v="23"/>
    <n v="0"/>
    <x v="9"/>
    <x v="0"/>
  </r>
  <r>
    <x v="2"/>
    <x v="25"/>
    <x v="24"/>
    <n v="0"/>
    <x v="9"/>
    <x v="0"/>
  </r>
  <r>
    <x v="2"/>
    <x v="25"/>
    <x v="25"/>
    <n v="0"/>
    <x v="9"/>
    <x v="0"/>
  </r>
  <r>
    <x v="2"/>
    <x v="25"/>
    <x v="26"/>
    <n v="0"/>
    <x v="9"/>
    <x v="0"/>
  </r>
  <r>
    <x v="2"/>
    <x v="25"/>
    <x v="27"/>
    <n v="0"/>
    <x v="9"/>
    <x v="0"/>
  </r>
  <r>
    <x v="2"/>
    <x v="25"/>
    <x v="28"/>
    <n v="0"/>
    <x v="9"/>
    <x v="0"/>
  </r>
  <r>
    <x v="2"/>
    <x v="25"/>
    <x v="29"/>
    <n v="0"/>
    <x v="9"/>
    <x v="0"/>
  </r>
  <r>
    <x v="2"/>
    <x v="25"/>
    <x v="30"/>
    <n v="0"/>
    <x v="9"/>
    <x v="0"/>
  </r>
  <r>
    <x v="2"/>
    <x v="25"/>
    <x v="31"/>
    <n v="0"/>
    <x v="9"/>
    <x v="0"/>
  </r>
  <r>
    <x v="2"/>
    <x v="25"/>
    <x v="32"/>
    <n v="0"/>
    <x v="9"/>
    <x v="0"/>
  </r>
  <r>
    <x v="2"/>
    <x v="25"/>
    <x v="33"/>
    <n v="0"/>
    <x v="9"/>
    <x v="0"/>
  </r>
  <r>
    <x v="2"/>
    <x v="25"/>
    <x v="34"/>
    <n v="0"/>
    <x v="9"/>
    <x v="0"/>
  </r>
  <r>
    <x v="2"/>
    <x v="25"/>
    <x v="35"/>
    <n v="0"/>
    <x v="9"/>
    <x v="0"/>
  </r>
  <r>
    <x v="2"/>
    <x v="25"/>
    <x v="36"/>
    <n v="0"/>
    <x v="9"/>
    <x v="0"/>
  </r>
  <r>
    <x v="2"/>
    <x v="5"/>
    <x v="0"/>
    <n v="0"/>
    <x v="5"/>
    <x v="0"/>
  </r>
  <r>
    <x v="2"/>
    <x v="5"/>
    <x v="1"/>
    <n v="0"/>
    <x v="5"/>
    <x v="0"/>
  </r>
  <r>
    <x v="2"/>
    <x v="5"/>
    <x v="2"/>
    <n v="0"/>
    <x v="5"/>
    <x v="0"/>
  </r>
  <r>
    <x v="2"/>
    <x v="5"/>
    <x v="3"/>
    <n v="0"/>
    <x v="5"/>
    <x v="0"/>
  </r>
  <r>
    <x v="2"/>
    <x v="5"/>
    <x v="4"/>
    <n v="0"/>
    <x v="5"/>
    <x v="0"/>
  </r>
  <r>
    <x v="2"/>
    <x v="5"/>
    <x v="5"/>
    <n v="0"/>
    <x v="5"/>
    <x v="0"/>
  </r>
  <r>
    <x v="2"/>
    <x v="5"/>
    <x v="6"/>
    <n v="0"/>
    <x v="5"/>
    <x v="0"/>
  </r>
  <r>
    <x v="2"/>
    <x v="5"/>
    <x v="7"/>
    <n v="0"/>
    <x v="5"/>
    <x v="0"/>
  </r>
  <r>
    <x v="2"/>
    <x v="5"/>
    <x v="8"/>
    <n v="0"/>
    <x v="5"/>
    <x v="0"/>
  </r>
  <r>
    <x v="2"/>
    <x v="5"/>
    <x v="9"/>
    <n v="0"/>
    <x v="5"/>
    <x v="0"/>
  </r>
  <r>
    <x v="2"/>
    <x v="5"/>
    <x v="10"/>
    <n v="0"/>
    <x v="5"/>
    <x v="0"/>
  </r>
  <r>
    <x v="2"/>
    <x v="5"/>
    <x v="11"/>
    <n v="0"/>
    <x v="5"/>
    <x v="0"/>
  </r>
  <r>
    <x v="2"/>
    <x v="5"/>
    <x v="12"/>
    <n v="0"/>
    <x v="5"/>
    <x v="0"/>
  </r>
  <r>
    <x v="2"/>
    <x v="5"/>
    <x v="13"/>
    <n v="0"/>
    <x v="5"/>
    <x v="0"/>
  </r>
  <r>
    <x v="2"/>
    <x v="5"/>
    <x v="14"/>
    <n v="0"/>
    <x v="5"/>
    <x v="0"/>
  </r>
  <r>
    <x v="2"/>
    <x v="5"/>
    <x v="15"/>
    <n v="0"/>
    <x v="5"/>
    <x v="0"/>
  </r>
  <r>
    <x v="2"/>
    <x v="5"/>
    <x v="16"/>
    <n v="0"/>
    <x v="5"/>
    <x v="0"/>
  </r>
  <r>
    <x v="2"/>
    <x v="5"/>
    <x v="17"/>
    <n v="0"/>
    <x v="5"/>
    <x v="0"/>
  </r>
  <r>
    <x v="2"/>
    <x v="5"/>
    <x v="18"/>
    <n v="0"/>
    <x v="5"/>
    <x v="0"/>
  </r>
  <r>
    <x v="2"/>
    <x v="5"/>
    <x v="19"/>
    <n v="0"/>
    <x v="5"/>
    <x v="0"/>
  </r>
  <r>
    <x v="2"/>
    <x v="5"/>
    <x v="20"/>
    <n v="0"/>
    <x v="5"/>
    <x v="0"/>
  </r>
  <r>
    <x v="2"/>
    <x v="5"/>
    <x v="21"/>
    <n v="0"/>
    <x v="5"/>
    <x v="0"/>
  </r>
  <r>
    <x v="2"/>
    <x v="5"/>
    <x v="22"/>
    <n v="0"/>
    <x v="5"/>
    <x v="0"/>
  </r>
  <r>
    <x v="2"/>
    <x v="5"/>
    <x v="23"/>
    <n v="0"/>
    <x v="5"/>
    <x v="0"/>
  </r>
  <r>
    <x v="2"/>
    <x v="5"/>
    <x v="24"/>
    <n v="0"/>
    <x v="5"/>
    <x v="0"/>
  </r>
  <r>
    <x v="2"/>
    <x v="5"/>
    <x v="25"/>
    <n v="0"/>
    <x v="5"/>
    <x v="0"/>
  </r>
  <r>
    <x v="2"/>
    <x v="5"/>
    <x v="26"/>
    <n v="0"/>
    <x v="5"/>
    <x v="0"/>
  </r>
  <r>
    <x v="2"/>
    <x v="5"/>
    <x v="27"/>
    <n v="0"/>
    <x v="5"/>
    <x v="0"/>
  </r>
  <r>
    <x v="2"/>
    <x v="5"/>
    <x v="28"/>
    <n v="0"/>
    <x v="5"/>
    <x v="0"/>
  </r>
  <r>
    <x v="2"/>
    <x v="5"/>
    <x v="29"/>
    <n v="0"/>
    <x v="5"/>
    <x v="0"/>
  </r>
  <r>
    <x v="2"/>
    <x v="5"/>
    <x v="30"/>
    <n v="0"/>
    <x v="5"/>
    <x v="0"/>
  </r>
  <r>
    <x v="2"/>
    <x v="5"/>
    <x v="31"/>
    <n v="0"/>
    <x v="5"/>
    <x v="0"/>
  </r>
  <r>
    <x v="2"/>
    <x v="5"/>
    <x v="32"/>
    <n v="0"/>
    <x v="5"/>
    <x v="0"/>
  </r>
  <r>
    <x v="2"/>
    <x v="5"/>
    <x v="33"/>
    <n v="0"/>
    <x v="5"/>
    <x v="0"/>
  </r>
  <r>
    <x v="2"/>
    <x v="5"/>
    <x v="34"/>
    <n v="0"/>
    <x v="5"/>
    <x v="0"/>
  </r>
  <r>
    <x v="2"/>
    <x v="5"/>
    <x v="35"/>
    <n v="0"/>
    <x v="5"/>
    <x v="0"/>
  </r>
  <r>
    <x v="2"/>
    <x v="5"/>
    <x v="36"/>
    <n v="0"/>
    <x v="5"/>
    <x v="0"/>
  </r>
  <r>
    <x v="2"/>
    <x v="26"/>
    <x v="0"/>
    <n v="0"/>
    <x v="5"/>
    <x v="0"/>
  </r>
  <r>
    <x v="2"/>
    <x v="26"/>
    <x v="1"/>
    <n v="0"/>
    <x v="5"/>
    <x v="0"/>
  </r>
  <r>
    <x v="2"/>
    <x v="26"/>
    <x v="2"/>
    <n v="0"/>
    <x v="5"/>
    <x v="0"/>
  </r>
  <r>
    <x v="2"/>
    <x v="26"/>
    <x v="3"/>
    <n v="0"/>
    <x v="5"/>
    <x v="0"/>
  </r>
  <r>
    <x v="2"/>
    <x v="26"/>
    <x v="4"/>
    <n v="0"/>
    <x v="5"/>
    <x v="0"/>
  </r>
  <r>
    <x v="2"/>
    <x v="26"/>
    <x v="5"/>
    <n v="0"/>
    <x v="5"/>
    <x v="0"/>
  </r>
  <r>
    <x v="2"/>
    <x v="26"/>
    <x v="6"/>
    <n v="0"/>
    <x v="5"/>
    <x v="0"/>
  </r>
  <r>
    <x v="2"/>
    <x v="26"/>
    <x v="7"/>
    <n v="0"/>
    <x v="5"/>
    <x v="0"/>
  </r>
  <r>
    <x v="2"/>
    <x v="26"/>
    <x v="8"/>
    <n v="0"/>
    <x v="5"/>
    <x v="0"/>
  </r>
  <r>
    <x v="2"/>
    <x v="26"/>
    <x v="9"/>
    <n v="0"/>
    <x v="5"/>
    <x v="0"/>
  </r>
  <r>
    <x v="2"/>
    <x v="26"/>
    <x v="10"/>
    <n v="0"/>
    <x v="5"/>
    <x v="0"/>
  </r>
  <r>
    <x v="2"/>
    <x v="26"/>
    <x v="11"/>
    <n v="0"/>
    <x v="5"/>
    <x v="0"/>
  </r>
  <r>
    <x v="2"/>
    <x v="26"/>
    <x v="12"/>
    <n v="0"/>
    <x v="5"/>
    <x v="0"/>
  </r>
  <r>
    <x v="2"/>
    <x v="26"/>
    <x v="13"/>
    <n v="0"/>
    <x v="5"/>
    <x v="0"/>
  </r>
  <r>
    <x v="2"/>
    <x v="26"/>
    <x v="14"/>
    <n v="0"/>
    <x v="5"/>
    <x v="0"/>
  </r>
  <r>
    <x v="2"/>
    <x v="26"/>
    <x v="15"/>
    <n v="0"/>
    <x v="5"/>
    <x v="0"/>
  </r>
  <r>
    <x v="2"/>
    <x v="26"/>
    <x v="16"/>
    <n v="0"/>
    <x v="5"/>
    <x v="0"/>
  </r>
  <r>
    <x v="2"/>
    <x v="26"/>
    <x v="17"/>
    <n v="0"/>
    <x v="5"/>
    <x v="0"/>
  </r>
  <r>
    <x v="2"/>
    <x v="26"/>
    <x v="18"/>
    <n v="0"/>
    <x v="5"/>
    <x v="0"/>
  </r>
  <r>
    <x v="2"/>
    <x v="26"/>
    <x v="19"/>
    <n v="0"/>
    <x v="5"/>
    <x v="0"/>
  </r>
  <r>
    <x v="2"/>
    <x v="26"/>
    <x v="20"/>
    <n v="0"/>
    <x v="5"/>
    <x v="0"/>
  </r>
  <r>
    <x v="2"/>
    <x v="26"/>
    <x v="21"/>
    <n v="0"/>
    <x v="5"/>
    <x v="0"/>
  </r>
  <r>
    <x v="2"/>
    <x v="26"/>
    <x v="22"/>
    <n v="0"/>
    <x v="5"/>
    <x v="0"/>
  </r>
  <r>
    <x v="2"/>
    <x v="26"/>
    <x v="23"/>
    <n v="0"/>
    <x v="5"/>
    <x v="0"/>
  </r>
  <r>
    <x v="2"/>
    <x v="26"/>
    <x v="24"/>
    <n v="0"/>
    <x v="5"/>
    <x v="0"/>
  </r>
  <r>
    <x v="2"/>
    <x v="26"/>
    <x v="25"/>
    <n v="0"/>
    <x v="5"/>
    <x v="0"/>
  </r>
  <r>
    <x v="2"/>
    <x v="26"/>
    <x v="26"/>
    <n v="0"/>
    <x v="5"/>
    <x v="0"/>
  </r>
  <r>
    <x v="2"/>
    <x v="26"/>
    <x v="27"/>
    <n v="0"/>
    <x v="5"/>
    <x v="0"/>
  </r>
  <r>
    <x v="2"/>
    <x v="26"/>
    <x v="28"/>
    <n v="0"/>
    <x v="5"/>
    <x v="0"/>
  </r>
  <r>
    <x v="2"/>
    <x v="26"/>
    <x v="29"/>
    <n v="0"/>
    <x v="5"/>
    <x v="0"/>
  </r>
  <r>
    <x v="2"/>
    <x v="26"/>
    <x v="30"/>
    <n v="0"/>
    <x v="5"/>
    <x v="0"/>
  </r>
  <r>
    <x v="2"/>
    <x v="26"/>
    <x v="31"/>
    <n v="0"/>
    <x v="5"/>
    <x v="0"/>
  </r>
  <r>
    <x v="2"/>
    <x v="26"/>
    <x v="32"/>
    <n v="0"/>
    <x v="5"/>
    <x v="0"/>
  </r>
  <r>
    <x v="2"/>
    <x v="26"/>
    <x v="33"/>
    <n v="0"/>
    <x v="5"/>
    <x v="0"/>
  </r>
  <r>
    <x v="2"/>
    <x v="26"/>
    <x v="34"/>
    <n v="0"/>
    <x v="5"/>
    <x v="0"/>
  </r>
  <r>
    <x v="2"/>
    <x v="26"/>
    <x v="35"/>
    <n v="0"/>
    <x v="5"/>
    <x v="0"/>
  </r>
  <r>
    <x v="2"/>
    <x v="26"/>
    <x v="36"/>
    <n v="49"/>
    <x v="5"/>
    <x v="0"/>
  </r>
  <r>
    <x v="3"/>
    <x v="6"/>
    <x v="0"/>
    <n v="0"/>
    <x v="6"/>
    <x v="0"/>
  </r>
  <r>
    <x v="3"/>
    <x v="6"/>
    <x v="1"/>
    <n v="0"/>
    <x v="6"/>
    <x v="0"/>
  </r>
  <r>
    <x v="3"/>
    <x v="6"/>
    <x v="2"/>
    <n v="0"/>
    <x v="6"/>
    <x v="0"/>
  </r>
  <r>
    <x v="3"/>
    <x v="6"/>
    <x v="3"/>
    <n v="0"/>
    <x v="6"/>
    <x v="0"/>
  </r>
  <r>
    <x v="3"/>
    <x v="6"/>
    <x v="4"/>
    <n v="0"/>
    <x v="6"/>
    <x v="0"/>
  </r>
  <r>
    <x v="3"/>
    <x v="6"/>
    <x v="5"/>
    <n v="0"/>
    <x v="6"/>
    <x v="0"/>
  </r>
  <r>
    <x v="3"/>
    <x v="6"/>
    <x v="6"/>
    <n v="0"/>
    <x v="6"/>
    <x v="0"/>
  </r>
  <r>
    <x v="3"/>
    <x v="6"/>
    <x v="7"/>
    <n v="0"/>
    <x v="6"/>
    <x v="0"/>
  </r>
  <r>
    <x v="3"/>
    <x v="6"/>
    <x v="8"/>
    <n v="0"/>
    <x v="6"/>
    <x v="0"/>
  </r>
  <r>
    <x v="3"/>
    <x v="6"/>
    <x v="9"/>
    <n v="0"/>
    <x v="6"/>
    <x v="0"/>
  </r>
  <r>
    <x v="3"/>
    <x v="6"/>
    <x v="10"/>
    <n v="0"/>
    <x v="6"/>
    <x v="0"/>
  </r>
  <r>
    <x v="3"/>
    <x v="6"/>
    <x v="11"/>
    <n v="0"/>
    <x v="6"/>
    <x v="0"/>
  </r>
  <r>
    <x v="3"/>
    <x v="6"/>
    <x v="12"/>
    <n v="0"/>
    <x v="6"/>
    <x v="0"/>
  </r>
  <r>
    <x v="3"/>
    <x v="6"/>
    <x v="13"/>
    <n v="0"/>
    <x v="6"/>
    <x v="0"/>
  </r>
  <r>
    <x v="3"/>
    <x v="6"/>
    <x v="14"/>
    <n v="0"/>
    <x v="6"/>
    <x v="0"/>
  </r>
  <r>
    <x v="3"/>
    <x v="6"/>
    <x v="15"/>
    <n v="0"/>
    <x v="6"/>
    <x v="0"/>
  </r>
  <r>
    <x v="3"/>
    <x v="6"/>
    <x v="16"/>
    <n v="0"/>
    <x v="6"/>
    <x v="0"/>
  </r>
  <r>
    <x v="3"/>
    <x v="6"/>
    <x v="17"/>
    <n v="0"/>
    <x v="6"/>
    <x v="0"/>
  </r>
  <r>
    <x v="3"/>
    <x v="6"/>
    <x v="18"/>
    <n v="0"/>
    <x v="6"/>
    <x v="0"/>
  </r>
  <r>
    <x v="3"/>
    <x v="6"/>
    <x v="19"/>
    <n v="0"/>
    <x v="6"/>
    <x v="0"/>
  </r>
  <r>
    <x v="3"/>
    <x v="6"/>
    <x v="20"/>
    <n v="0"/>
    <x v="6"/>
    <x v="0"/>
  </r>
  <r>
    <x v="3"/>
    <x v="6"/>
    <x v="21"/>
    <n v="0"/>
    <x v="6"/>
    <x v="0"/>
  </r>
  <r>
    <x v="3"/>
    <x v="6"/>
    <x v="22"/>
    <n v="0"/>
    <x v="6"/>
    <x v="0"/>
  </r>
  <r>
    <x v="3"/>
    <x v="6"/>
    <x v="23"/>
    <n v="0"/>
    <x v="6"/>
    <x v="0"/>
  </r>
  <r>
    <x v="3"/>
    <x v="6"/>
    <x v="24"/>
    <n v="0"/>
    <x v="6"/>
    <x v="0"/>
  </r>
  <r>
    <x v="3"/>
    <x v="6"/>
    <x v="25"/>
    <n v="0"/>
    <x v="6"/>
    <x v="0"/>
  </r>
  <r>
    <x v="3"/>
    <x v="6"/>
    <x v="26"/>
    <n v="0"/>
    <x v="6"/>
    <x v="0"/>
  </r>
  <r>
    <x v="3"/>
    <x v="6"/>
    <x v="27"/>
    <n v="0"/>
    <x v="6"/>
    <x v="0"/>
  </r>
  <r>
    <x v="3"/>
    <x v="6"/>
    <x v="28"/>
    <n v="0"/>
    <x v="6"/>
    <x v="0"/>
  </r>
  <r>
    <x v="3"/>
    <x v="6"/>
    <x v="29"/>
    <n v="0"/>
    <x v="6"/>
    <x v="0"/>
  </r>
  <r>
    <x v="3"/>
    <x v="6"/>
    <x v="30"/>
    <n v="0"/>
    <x v="6"/>
    <x v="0"/>
  </r>
  <r>
    <x v="3"/>
    <x v="6"/>
    <x v="31"/>
    <n v="0"/>
    <x v="6"/>
    <x v="0"/>
  </r>
  <r>
    <x v="3"/>
    <x v="6"/>
    <x v="32"/>
    <n v="0"/>
    <x v="6"/>
    <x v="0"/>
  </r>
  <r>
    <x v="3"/>
    <x v="6"/>
    <x v="33"/>
    <n v="0"/>
    <x v="6"/>
    <x v="0"/>
  </r>
  <r>
    <x v="3"/>
    <x v="6"/>
    <x v="34"/>
    <n v="0"/>
    <x v="6"/>
    <x v="0"/>
  </r>
  <r>
    <x v="3"/>
    <x v="6"/>
    <x v="35"/>
    <n v="0"/>
    <x v="6"/>
    <x v="0"/>
  </r>
  <r>
    <x v="3"/>
    <x v="6"/>
    <x v="36"/>
    <n v="0"/>
    <x v="6"/>
    <x v="0"/>
  </r>
  <r>
    <x v="3"/>
    <x v="0"/>
    <x v="0"/>
    <n v="0"/>
    <x v="0"/>
    <x v="0"/>
  </r>
  <r>
    <x v="3"/>
    <x v="0"/>
    <x v="1"/>
    <n v="0"/>
    <x v="0"/>
    <x v="0"/>
  </r>
  <r>
    <x v="3"/>
    <x v="0"/>
    <x v="2"/>
    <n v="218045"/>
    <x v="0"/>
    <x v="0"/>
  </r>
  <r>
    <x v="3"/>
    <x v="0"/>
    <x v="3"/>
    <n v="336127"/>
    <x v="0"/>
    <x v="0"/>
  </r>
  <r>
    <x v="3"/>
    <x v="0"/>
    <x v="4"/>
    <n v="319232"/>
    <x v="0"/>
    <x v="0"/>
  </r>
  <r>
    <x v="3"/>
    <x v="0"/>
    <x v="5"/>
    <n v="423939"/>
    <x v="0"/>
    <x v="0"/>
  </r>
  <r>
    <x v="3"/>
    <x v="0"/>
    <x v="6"/>
    <n v="362446"/>
    <x v="0"/>
    <x v="0"/>
  </r>
  <r>
    <x v="3"/>
    <x v="0"/>
    <x v="7"/>
    <n v="402283"/>
    <x v="0"/>
    <x v="0"/>
  </r>
  <r>
    <x v="3"/>
    <x v="0"/>
    <x v="8"/>
    <n v="187421"/>
    <x v="0"/>
    <x v="0"/>
  </r>
  <r>
    <x v="3"/>
    <x v="0"/>
    <x v="9"/>
    <n v="322942"/>
    <x v="0"/>
    <x v="0"/>
  </r>
  <r>
    <x v="3"/>
    <x v="0"/>
    <x v="10"/>
    <n v="368794"/>
    <x v="0"/>
    <x v="0"/>
  </r>
  <r>
    <x v="3"/>
    <x v="0"/>
    <x v="11"/>
    <n v="457502"/>
    <x v="0"/>
    <x v="0"/>
  </r>
  <r>
    <x v="3"/>
    <x v="0"/>
    <x v="12"/>
    <n v="429379"/>
    <x v="0"/>
    <x v="0"/>
  </r>
  <r>
    <x v="3"/>
    <x v="0"/>
    <x v="13"/>
    <n v="471796"/>
    <x v="0"/>
    <x v="0"/>
  </r>
  <r>
    <x v="3"/>
    <x v="0"/>
    <x v="14"/>
    <n v="495990"/>
    <x v="0"/>
    <x v="0"/>
  </r>
  <r>
    <x v="3"/>
    <x v="0"/>
    <x v="15"/>
    <n v="532362"/>
    <x v="0"/>
    <x v="0"/>
  </r>
  <r>
    <x v="3"/>
    <x v="0"/>
    <x v="16"/>
    <n v="593514"/>
    <x v="0"/>
    <x v="0"/>
  </r>
  <r>
    <x v="3"/>
    <x v="0"/>
    <x v="17"/>
    <n v="641800"/>
    <x v="0"/>
    <x v="0"/>
  </r>
  <r>
    <x v="3"/>
    <x v="0"/>
    <x v="18"/>
    <n v="674289"/>
    <x v="0"/>
    <x v="0"/>
  </r>
  <r>
    <x v="3"/>
    <x v="0"/>
    <x v="19"/>
    <n v="720232"/>
    <x v="0"/>
    <x v="0"/>
  </r>
  <r>
    <x v="3"/>
    <x v="0"/>
    <x v="20"/>
    <n v="748636"/>
    <x v="0"/>
    <x v="0"/>
  </r>
  <r>
    <x v="3"/>
    <x v="0"/>
    <x v="21"/>
    <n v="818593"/>
    <x v="0"/>
    <x v="0"/>
  </r>
  <r>
    <x v="3"/>
    <x v="0"/>
    <x v="22"/>
    <n v="945322"/>
    <x v="0"/>
    <x v="0"/>
  </r>
  <r>
    <x v="3"/>
    <x v="0"/>
    <x v="23"/>
    <n v="971285"/>
    <x v="0"/>
    <x v="0"/>
  </r>
  <r>
    <x v="3"/>
    <x v="0"/>
    <x v="24"/>
    <n v="920221"/>
    <x v="0"/>
    <x v="0"/>
  </r>
  <r>
    <x v="3"/>
    <x v="0"/>
    <x v="25"/>
    <n v="906921"/>
    <x v="0"/>
    <x v="0"/>
  </r>
  <r>
    <x v="3"/>
    <x v="0"/>
    <x v="26"/>
    <n v="957070"/>
    <x v="0"/>
    <x v="0"/>
  </r>
  <r>
    <x v="3"/>
    <x v="0"/>
    <x v="27"/>
    <n v="935560"/>
    <x v="0"/>
    <x v="0"/>
  </r>
  <r>
    <x v="3"/>
    <x v="0"/>
    <x v="28"/>
    <n v="985389"/>
    <x v="0"/>
    <x v="0"/>
  </r>
  <r>
    <x v="3"/>
    <x v="0"/>
    <x v="29"/>
    <n v="990371"/>
    <x v="0"/>
    <x v="0"/>
  </r>
  <r>
    <x v="3"/>
    <x v="0"/>
    <x v="30"/>
    <n v="981748"/>
    <x v="0"/>
    <x v="0"/>
  </r>
  <r>
    <x v="3"/>
    <x v="0"/>
    <x v="31"/>
    <n v="965938"/>
    <x v="0"/>
    <x v="0"/>
  </r>
  <r>
    <x v="3"/>
    <x v="0"/>
    <x v="32"/>
    <n v="918084"/>
    <x v="0"/>
    <x v="0"/>
  </r>
  <r>
    <x v="3"/>
    <x v="0"/>
    <x v="33"/>
    <n v="997064"/>
    <x v="0"/>
    <x v="0"/>
  </r>
  <r>
    <x v="3"/>
    <x v="0"/>
    <x v="34"/>
    <n v="1018131"/>
    <x v="0"/>
    <x v="0"/>
  </r>
  <r>
    <x v="3"/>
    <x v="0"/>
    <x v="35"/>
    <n v="995563"/>
    <x v="0"/>
    <x v="0"/>
  </r>
  <r>
    <x v="3"/>
    <x v="0"/>
    <x v="36"/>
    <n v="944234"/>
    <x v="0"/>
    <x v="0"/>
  </r>
  <r>
    <x v="3"/>
    <x v="7"/>
    <x v="0"/>
    <n v="88727"/>
    <x v="0"/>
    <x v="0"/>
  </r>
  <r>
    <x v="3"/>
    <x v="7"/>
    <x v="1"/>
    <n v="81346"/>
    <x v="0"/>
    <x v="0"/>
  </r>
  <r>
    <x v="3"/>
    <x v="7"/>
    <x v="2"/>
    <n v="98006"/>
    <x v="0"/>
    <x v="0"/>
  </r>
  <r>
    <x v="3"/>
    <x v="7"/>
    <x v="3"/>
    <n v="92354"/>
    <x v="0"/>
    <x v="0"/>
  </r>
  <r>
    <x v="3"/>
    <x v="7"/>
    <x v="4"/>
    <n v="99904"/>
    <x v="0"/>
    <x v="0"/>
  </r>
  <r>
    <x v="3"/>
    <x v="7"/>
    <x v="5"/>
    <n v="115353"/>
    <x v="0"/>
    <x v="0"/>
  </r>
  <r>
    <x v="3"/>
    <x v="7"/>
    <x v="6"/>
    <n v="104296"/>
    <x v="0"/>
    <x v="0"/>
  </r>
  <r>
    <x v="3"/>
    <x v="7"/>
    <x v="7"/>
    <n v="33816"/>
    <x v="0"/>
    <x v="0"/>
  </r>
  <r>
    <x v="3"/>
    <x v="7"/>
    <x v="8"/>
    <n v="84406"/>
    <x v="0"/>
    <x v="0"/>
  </r>
  <r>
    <x v="3"/>
    <x v="7"/>
    <x v="9"/>
    <n v="111748"/>
    <x v="0"/>
    <x v="0"/>
  </r>
  <r>
    <x v="3"/>
    <x v="7"/>
    <x v="10"/>
    <n v="105494"/>
    <x v="0"/>
    <x v="0"/>
  </r>
  <r>
    <x v="3"/>
    <x v="7"/>
    <x v="11"/>
    <n v="81027"/>
    <x v="0"/>
    <x v="0"/>
  </r>
  <r>
    <x v="3"/>
    <x v="7"/>
    <x v="12"/>
    <n v="74326"/>
    <x v="0"/>
    <x v="0"/>
  </r>
  <r>
    <x v="3"/>
    <x v="7"/>
    <x v="13"/>
    <n v="83726"/>
    <x v="0"/>
    <x v="0"/>
  </r>
  <r>
    <x v="3"/>
    <x v="7"/>
    <x v="14"/>
    <n v="60935"/>
    <x v="0"/>
    <x v="0"/>
  </r>
  <r>
    <x v="3"/>
    <x v="7"/>
    <x v="15"/>
    <n v="75549"/>
    <x v="0"/>
    <x v="0"/>
  </r>
  <r>
    <x v="3"/>
    <x v="7"/>
    <x v="16"/>
    <n v="61614"/>
    <x v="0"/>
    <x v="0"/>
  </r>
  <r>
    <x v="3"/>
    <x v="7"/>
    <x v="17"/>
    <n v="67090"/>
    <x v="0"/>
    <x v="0"/>
  </r>
  <r>
    <x v="3"/>
    <x v="7"/>
    <x v="18"/>
    <n v="86146"/>
    <x v="0"/>
    <x v="0"/>
  </r>
  <r>
    <x v="3"/>
    <x v="7"/>
    <x v="19"/>
    <n v="74656"/>
    <x v="0"/>
    <x v="0"/>
  </r>
  <r>
    <x v="3"/>
    <x v="7"/>
    <x v="20"/>
    <n v="0"/>
    <x v="0"/>
    <x v="0"/>
  </r>
  <r>
    <x v="3"/>
    <x v="7"/>
    <x v="21"/>
    <n v="0"/>
    <x v="0"/>
    <x v="0"/>
  </r>
  <r>
    <x v="3"/>
    <x v="7"/>
    <x v="22"/>
    <n v="0"/>
    <x v="0"/>
    <x v="0"/>
  </r>
  <r>
    <x v="3"/>
    <x v="7"/>
    <x v="23"/>
    <n v="0"/>
    <x v="0"/>
    <x v="0"/>
  </r>
  <r>
    <x v="3"/>
    <x v="7"/>
    <x v="24"/>
    <n v="0"/>
    <x v="0"/>
    <x v="0"/>
  </r>
  <r>
    <x v="3"/>
    <x v="7"/>
    <x v="25"/>
    <n v="0"/>
    <x v="0"/>
    <x v="0"/>
  </r>
  <r>
    <x v="3"/>
    <x v="7"/>
    <x v="26"/>
    <n v="0"/>
    <x v="0"/>
    <x v="0"/>
  </r>
  <r>
    <x v="3"/>
    <x v="7"/>
    <x v="27"/>
    <n v="0"/>
    <x v="0"/>
    <x v="0"/>
  </r>
  <r>
    <x v="3"/>
    <x v="7"/>
    <x v="28"/>
    <n v="0"/>
    <x v="0"/>
    <x v="0"/>
  </r>
  <r>
    <x v="3"/>
    <x v="7"/>
    <x v="29"/>
    <n v="0"/>
    <x v="0"/>
    <x v="0"/>
  </r>
  <r>
    <x v="3"/>
    <x v="7"/>
    <x v="30"/>
    <n v="0"/>
    <x v="0"/>
    <x v="0"/>
  </r>
  <r>
    <x v="3"/>
    <x v="7"/>
    <x v="31"/>
    <n v="0"/>
    <x v="0"/>
    <x v="0"/>
  </r>
  <r>
    <x v="3"/>
    <x v="7"/>
    <x v="32"/>
    <n v="0"/>
    <x v="0"/>
    <x v="0"/>
  </r>
  <r>
    <x v="3"/>
    <x v="7"/>
    <x v="33"/>
    <n v="0"/>
    <x v="0"/>
    <x v="0"/>
  </r>
  <r>
    <x v="3"/>
    <x v="7"/>
    <x v="34"/>
    <n v="0"/>
    <x v="0"/>
    <x v="0"/>
  </r>
  <r>
    <x v="3"/>
    <x v="7"/>
    <x v="35"/>
    <n v="0"/>
    <x v="0"/>
    <x v="0"/>
  </r>
  <r>
    <x v="3"/>
    <x v="7"/>
    <x v="36"/>
    <n v="0"/>
    <x v="0"/>
    <x v="0"/>
  </r>
  <r>
    <x v="3"/>
    <x v="1"/>
    <x v="0"/>
    <n v="11353817"/>
    <x v="7"/>
    <x v="0"/>
  </r>
  <r>
    <x v="3"/>
    <x v="1"/>
    <x v="1"/>
    <n v="11119753"/>
    <x v="7"/>
    <x v="0"/>
  </r>
  <r>
    <x v="3"/>
    <x v="1"/>
    <x v="2"/>
    <n v="13040561"/>
    <x v="7"/>
    <x v="0"/>
  </r>
  <r>
    <x v="3"/>
    <x v="1"/>
    <x v="3"/>
    <n v="11380628"/>
    <x v="7"/>
    <x v="0"/>
  </r>
  <r>
    <x v="3"/>
    <x v="1"/>
    <x v="4"/>
    <n v="9024384"/>
    <x v="7"/>
    <x v="0"/>
  </r>
  <r>
    <x v="3"/>
    <x v="1"/>
    <x v="5"/>
    <n v="13381643"/>
    <x v="7"/>
    <x v="0"/>
  </r>
  <r>
    <x v="3"/>
    <x v="1"/>
    <x v="6"/>
    <n v="14467683"/>
    <x v="7"/>
    <x v="0"/>
  </r>
  <r>
    <x v="3"/>
    <x v="1"/>
    <x v="7"/>
    <n v="14095269"/>
    <x v="7"/>
    <x v="0"/>
  </r>
  <r>
    <x v="3"/>
    <x v="1"/>
    <x v="8"/>
    <n v="10797938"/>
    <x v="7"/>
    <x v="0"/>
  </r>
  <r>
    <x v="3"/>
    <x v="1"/>
    <x v="9"/>
    <n v="13219212"/>
    <x v="7"/>
    <x v="0"/>
  </r>
  <r>
    <x v="3"/>
    <x v="1"/>
    <x v="10"/>
    <n v="14939801"/>
    <x v="7"/>
    <x v="0"/>
  </r>
  <r>
    <x v="3"/>
    <x v="1"/>
    <x v="11"/>
    <n v="13234476"/>
    <x v="7"/>
    <x v="0"/>
  </r>
  <r>
    <x v="3"/>
    <x v="1"/>
    <x v="12"/>
    <n v="11226878"/>
    <x v="7"/>
    <x v="0"/>
  </r>
  <r>
    <x v="3"/>
    <x v="1"/>
    <x v="13"/>
    <n v="16376995"/>
    <x v="7"/>
    <x v="0"/>
  </r>
  <r>
    <x v="3"/>
    <x v="1"/>
    <x v="14"/>
    <n v="16836304"/>
    <x v="7"/>
    <x v="0"/>
  </r>
  <r>
    <x v="3"/>
    <x v="1"/>
    <x v="15"/>
    <n v="15256559"/>
    <x v="7"/>
    <x v="0"/>
  </r>
  <r>
    <x v="3"/>
    <x v="1"/>
    <x v="16"/>
    <n v="15477625"/>
    <x v="7"/>
    <x v="0"/>
  </r>
  <r>
    <x v="3"/>
    <x v="1"/>
    <x v="17"/>
    <n v="16370864"/>
    <x v="7"/>
    <x v="0"/>
  </r>
  <r>
    <x v="3"/>
    <x v="1"/>
    <x v="18"/>
    <n v="18513397"/>
    <x v="7"/>
    <x v="0"/>
  </r>
  <r>
    <x v="3"/>
    <x v="1"/>
    <x v="19"/>
    <n v="18868338"/>
    <x v="7"/>
    <x v="0"/>
  </r>
  <r>
    <x v="3"/>
    <x v="1"/>
    <x v="20"/>
    <n v="15348571"/>
    <x v="7"/>
    <x v="0"/>
  </r>
  <r>
    <x v="3"/>
    <x v="1"/>
    <x v="21"/>
    <n v="20411953"/>
    <x v="7"/>
    <x v="0"/>
  </r>
  <r>
    <x v="3"/>
    <x v="1"/>
    <x v="22"/>
    <n v="21240338"/>
    <x v="7"/>
    <x v="0"/>
  </r>
  <r>
    <x v="3"/>
    <x v="1"/>
    <x v="23"/>
    <n v="19666822"/>
    <x v="7"/>
    <x v="0"/>
  </r>
  <r>
    <x v="3"/>
    <x v="1"/>
    <x v="24"/>
    <n v="17851284"/>
    <x v="7"/>
    <x v="0"/>
  </r>
  <r>
    <x v="3"/>
    <x v="1"/>
    <x v="25"/>
    <n v="23968115"/>
    <x v="7"/>
    <x v="0"/>
  </r>
  <r>
    <x v="3"/>
    <x v="1"/>
    <x v="26"/>
    <n v="16994336"/>
    <x v="7"/>
    <x v="0"/>
  </r>
  <r>
    <x v="3"/>
    <x v="1"/>
    <x v="27"/>
    <n v="23527241"/>
    <x v="7"/>
    <x v="0"/>
  </r>
  <r>
    <x v="3"/>
    <x v="1"/>
    <x v="28"/>
    <n v="17945468"/>
    <x v="7"/>
    <x v="0"/>
  </r>
  <r>
    <x v="3"/>
    <x v="1"/>
    <x v="29"/>
    <n v="19268958"/>
    <x v="7"/>
    <x v="0"/>
  </r>
  <r>
    <x v="3"/>
    <x v="1"/>
    <x v="30"/>
    <n v="21040196"/>
    <x v="7"/>
    <x v="0"/>
  </r>
  <r>
    <x v="3"/>
    <x v="1"/>
    <x v="31"/>
    <n v="21358407"/>
    <x v="7"/>
    <x v="0"/>
  </r>
  <r>
    <x v="3"/>
    <x v="1"/>
    <x v="32"/>
    <n v="16228778"/>
    <x v="7"/>
    <x v="0"/>
  </r>
  <r>
    <x v="3"/>
    <x v="1"/>
    <x v="33"/>
    <n v="19238482"/>
    <x v="7"/>
    <x v="0"/>
  </r>
  <r>
    <x v="3"/>
    <x v="1"/>
    <x v="34"/>
    <n v="22115676"/>
    <x v="7"/>
    <x v="0"/>
  </r>
  <r>
    <x v="3"/>
    <x v="1"/>
    <x v="35"/>
    <n v="21878814"/>
    <x v="7"/>
    <x v="0"/>
  </r>
  <r>
    <x v="3"/>
    <x v="1"/>
    <x v="36"/>
    <n v="13709199"/>
    <x v="7"/>
    <x v="0"/>
  </r>
  <r>
    <x v="3"/>
    <x v="8"/>
    <x v="0"/>
    <n v="190787754"/>
    <x v="7"/>
    <x v="4"/>
  </r>
  <r>
    <x v="3"/>
    <x v="8"/>
    <x v="1"/>
    <n v="157566921"/>
    <x v="7"/>
    <x v="4"/>
  </r>
  <r>
    <x v="3"/>
    <x v="8"/>
    <x v="2"/>
    <n v="184886343"/>
    <x v="7"/>
    <x v="4"/>
  </r>
  <r>
    <x v="3"/>
    <x v="8"/>
    <x v="3"/>
    <n v="163486021"/>
    <x v="7"/>
    <x v="4"/>
  </r>
  <r>
    <x v="3"/>
    <x v="8"/>
    <x v="4"/>
    <n v="139086543"/>
    <x v="7"/>
    <x v="4"/>
  </r>
  <r>
    <x v="3"/>
    <x v="8"/>
    <x v="5"/>
    <n v="184749867"/>
    <x v="7"/>
    <x v="4"/>
  </r>
  <r>
    <x v="3"/>
    <x v="8"/>
    <x v="6"/>
    <n v="193087164"/>
    <x v="7"/>
    <x v="4"/>
  </r>
  <r>
    <x v="3"/>
    <x v="8"/>
    <x v="7"/>
    <n v="161636376"/>
    <x v="7"/>
    <x v="4"/>
  </r>
  <r>
    <x v="3"/>
    <x v="8"/>
    <x v="8"/>
    <n v="162000728"/>
    <x v="7"/>
    <x v="4"/>
  </r>
  <r>
    <x v="3"/>
    <x v="8"/>
    <x v="9"/>
    <n v="184700513"/>
    <x v="7"/>
    <x v="4"/>
  </r>
  <r>
    <x v="3"/>
    <x v="8"/>
    <x v="10"/>
    <n v="208472910"/>
    <x v="7"/>
    <x v="4"/>
  </r>
  <r>
    <x v="3"/>
    <x v="8"/>
    <x v="11"/>
    <n v="172121556"/>
    <x v="7"/>
    <x v="4"/>
  </r>
  <r>
    <x v="3"/>
    <x v="8"/>
    <x v="12"/>
    <n v="173067446"/>
    <x v="7"/>
    <x v="4"/>
  </r>
  <r>
    <x v="3"/>
    <x v="8"/>
    <x v="13"/>
    <n v="167000751"/>
    <x v="7"/>
    <x v="4"/>
  </r>
  <r>
    <x v="3"/>
    <x v="8"/>
    <x v="14"/>
    <n v="188320552"/>
    <x v="7"/>
    <x v="4"/>
  </r>
  <r>
    <x v="3"/>
    <x v="8"/>
    <x v="15"/>
    <n v="182188128"/>
    <x v="7"/>
    <x v="4"/>
  </r>
  <r>
    <x v="3"/>
    <x v="8"/>
    <x v="16"/>
    <n v="144363444"/>
    <x v="7"/>
    <x v="4"/>
  </r>
  <r>
    <x v="3"/>
    <x v="8"/>
    <x v="17"/>
    <n v="182674337"/>
    <x v="7"/>
    <x v="4"/>
  </r>
  <r>
    <x v="3"/>
    <x v="8"/>
    <x v="18"/>
    <n v="174916666"/>
    <x v="7"/>
    <x v="4"/>
  </r>
  <r>
    <x v="3"/>
    <x v="8"/>
    <x v="19"/>
    <n v="178080356"/>
    <x v="7"/>
    <x v="4"/>
  </r>
  <r>
    <x v="3"/>
    <x v="8"/>
    <x v="20"/>
    <n v="187081055"/>
    <x v="7"/>
    <x v="4"/>
  </r>
  <r>
    <x v="3"/>
    <x v="8"/>
    <x v="21"/>
    <n v="186795283"/>
    <x v="7"/>
    <x v="4"/>
  </r>
  <r>
    <x v="3"/>
    <x v="8"/>
    <x v="22"/>
    <n v="205513203"/>
    <x v="7"/>
    <x v="4"/>
  </r>
  <r>
    <x v="3"/>
    <x v="8"/>
    <x v="23"/>
    <n v="172956245"/>
    <x v="7"/>
    <x v="4"/>
  </r>
  <r>
    <x v="3"/>
    <x v="8"/>
    <x v="24"/>
    <n v="200323039"/>
    <x v="7"/>
    <x v="4"/>
  </r>
  <r>
    <x v="3"/>
    <x v="8"/>
    <x v="25"/>
    <n v="179403589"/>
    <x v="7"/>
    <x v="4"/>
  </r>
  <r>
    <x v="3"/>
    <x v="8"/>
    <x v="26"/>
    <n v="200823154"/>
    <x v="7"/>
    <x v="4"/>
  </r>
  <r>
    <x v="3"/>
    <x v="8"/>
    <x v="27"/>
    <n v="193031880"/>
    <x v="7"/>
    <x v="4"/>
  </r>
  <r>
    <x v="3"/>
    <x v="8"/>
    <x v="28"/>
    <n v="158997982"/>
    <x v="7"/>
    <x v="4"/>
  </r>
  <r>
    <x v="3"/>
    <x v="8"/>
    <x v="29"/>
    <n v="146825076"/>
    <x v="7"/>
    <x v="4"/>
  </r>
  <r>
    <x v="3"/>
    <x v="8"/>
    <x v="30"/>
    <n v="172845013"/>
    <x v="7"/>
    <x v="4"/>
  </r>
  <r>
    <x v="3"/>
    <x v="8"/>
    <x v="31"/>
    <n v="144934191"/>
    <x v="7"/>
    <x v="4"/>
  </r>
  <r>
    <x v="3"/>
    <x v="8"/>
    <x v="32"/>
    <n v="131321328"/>
    <x v="7"/>
    <x v="4"/>
  </r>
  <r>
    <x v="3"/>
    <x v="8"/>
    <x v="33"/>
    <n v="136386418"/>
    <x v="7"/>
    <x v="4"/>
  </r>
  <r>
    <x v="3"/>
    <x v="8"/>
    <x v="34"/>
    <n v="177190864"/>
    <x v="7"/>
    <x v="4"/>
  </r>
  <r>
    <x v="3"/>
    <x v="8"/>
    <x v="35"/>
    <n v="187922491"/>
    <x v="7"/>
    <x v="4"/>
  </r>
  <r>
    <x v="3"/>
    <x v="8"/>
    <x v="36"/>
    <n v="143943188"/>
    <x v="7"/>
    <x v="4"/>
  </r>
  <r>
    <x v="3"/>
    <x v="9"/>
    <x v="0"/>
    <n v="0"/>
    <x v="7"/>
    <x v="4"/>
  </r>
  <r>
    <x v="3"/>
    <x v="9"/>
    <x v="1"/>
    <n v="0"/>
    <x v="7"/>
    <x v="4"/>
  </r>
  <r>
    <x v="3"/>
    <x v="9"/>
    <x v="2"/>
    <n v="0"/>
    <x v="7"/>
    <x v="4"/>
  </r>
  <r>
    <x v="3"/>
    <x v="9"/>
    <x v="3"/>
    <n v="0"/>
    <x v="7"/>
    <x v="4"/>
  </r>
  <r>
    <x v="3"/>
    <x v="9"/>
    <x v="4"/>
    <n v="0"/>
    <x v="7"/>
    <x v="4"/>
  </r>
  <r>
    <x v="3"/>
    <x v="9"/>
    <x v="5"/>
    <n v="0"/>
    <x v="7"/>
    <x v="4"/>
  </r>
  <r>
    <x v="3"/>
    <x v="9"/>
    <x v="6"/>
    <n v="0"/>
    <x v="7"/>
    <x v="4"/>
  </r>
  <r>
    <x v="3"/>
    <x v="9"/>
    <x v="7"/>
    <n v="0"/>
    <x v="7"/>
    <x v="4"/>
  </r>
  <r>
    <x v="3"/>
    <x v="9"/>
    <x v="8"/>
    <n v="0"/>
    <x v="7"/>
    <x v="4"/>
  </r>
  <r>
    <x v="3"/>
    <x v="9"/>
    <x v="9"/>
    <n v="16659"/>
    <x v="7"/>
    <x v="4"/>
  </r>
  <r>
    <x v="3"/>
    <x v="9"/>
    <x v="10"/>
    <n v="0"/>
    <x v="7"/>
    <x v="4"/>
  </r>
  <r>
    <x v="3"/>
    <x v="9"/>
    <x v="11"/>
    <n v="0"/>
    <x v="7"/>
    <x v="4"/>
  </r>
  <r>
    <x v="3"/>
    <x v="9"/>
    <x v="12"/>
    <n v="-1915"/>
    <x v="7"/>
    <x v="4"/>
  </r>
  <r>
    <x v="3"/>
    <x v="9"/>
    <x v="13"/>
    <n v="-6563"/>
    <x v="7"/>
    <x v="4"/>
  </r>
  <r>
    <x v="3"/>
    <x v="9"/>
    <x v="14"/>
    <n v="-7587"/>
    <x v="7"/>
    <x v="4"/>
  </r>
  <r>
    <x v="3"/>
    <x v="9"/>
    <x v="15"/>
    <n v="-5258"/>
    <x v="7"/>
    <x v="4"/>
  </r>
  <r>
    <x v="3"/>
    <x v="9"/>
    <x v="16"/>
    <n v="-29358"/>
    <x v="7"/>
    <x v="4"/>
  </r>
  <r>
    <x v="3"/>
    <x v="9"/>
    <x v="17"/>
    <n v="-11347"/>
    <x v="7"/>
    <x v="4"/>
  </r>
  <r>
    <x v="3"/>
    <x v="9"/>
    <x v="18"/>
    <n v="-12518"/>
    <x v="7"/>
    <x v="4"/>
  </r>
  <r>
    <x v="3"/>
    <x v="9"/>
    <x v="19"/>
    <n v="-24341"/>
    <x v="7"/>
    <x v="4"/>
  </r>
  <r>
    <x v="3"/>
    <x v="9"/>
    <x v="20"/>
    <n v="-66271"/>
    <x v="7"/>
    <x v="4"/>
  </r>
  <r>
    <x v="3"/>
    <x v="9"/>
    <x v="21"/>
    <n v="-168425"/>
    <x v="7"/>
    <x v="4"/>
  </r>
  <r>
    <x v="3"/>
    <x v="9"/>
    <x v="22"/>
    <n v="-119854"/>
    <x v="7"/>
    <x v="4"/>
  </r>
  <r>
    <x v="3"/>
    <x v="9"/>
    <x v="23"/>
    <n v="-87451"/>
    <x v="7"/>
    <x v="4"/>
  </r>
  <r>
    <x v="3"/>
    <x v="9"/>
    <x v="24"/>
    <n v="-111036"/>
    <x v="7"/>
    <x v="4"/>
  </r>
  <r>
    <x v="3"/>
    <x v="9"/>
    <x v="25"/>
    <n v="-250171"/>
    <x v="7"/>
    <x v="4"/>
  </r>
  <r>
    <x v="3"/>
    <x v="9"/>
    <x v="26"/>
    <n v="-455526"/>
    <x v="7"/>
    <x v="4"/>
  </r>
  <r>
    <x v="3"/>
    <x v="9"/>
    <x v="27"/>
    <n v="-153293"/>
    <x v="7"/>
    <x v="4"/>
  </r>
  <r>
    <x v="3"/>
    <x v="9"/>
    <x v="28"/>
    <n v="-340412"/>
    <x v="7"/>
    <x v="4"/>
  </r>
  <r>
    <x v="3"/>
    <x v="9"/>
    <x v="29"/>
    <n v="-21738"/>
    <x v="7"/>
    <x v="4"/>
  </r>
  <r>
    <x v="3"/>
    <x v="9"/>
    <x v="30"/>
    <n v="-213937"/>
    <x v="7"/>
    <x v="4"/>
  </r>
  <r>
    <x v="3"/>
    <x v="9"/>
    <x v="31"/>
    <n v="-106863"/>
    <x v="7"/>
    <x v="4"/>
  </r>
  <r>
    <x v="3"/>
    <x v="9"/>
    <x v="32"/>
    <n v="-149055"/>
    <x v="7"/>
    <x v="4"/>
  </r>
  <r>
    <x v="3"/>
    <x v="9"/>
    <x v="33"/>
    <n v="-291397"/>
    <x v="7"/>
    <x v="4"/>
  </r>
  <r>
    <x v="3"/>
    <x v="9"/>
    <x v="34"/>
    <n v="-346618"/>
    <x v="7"/>
    <x v="4"/>
  </r>
  <r>
    <x v="3"/>
    <x v="9"/>
    <x v="35"/>
    <n v="-168168"/>
    <x v="7"/>
    <x v="4"/>
  </r>
  <r>
    <x v="3"/>
    <x v="9"/>
    <x v="36"/>
    <n v="-65369"/>
    <x v="7"/>
    <x v="4"/>
  </r>
  <r>
    <x v="3"/>
    <x v="10"/>
    <x v="0"/>
    <n v="10272272"/>
    <x v="7"/>
    <x v="4"/>
  </r>
  <r>
    <x v="3"/>
    <x v="10"/>
    <x v="1"/>
    <n v="921340"/>
    <x v="7"/>
    <x v="4"/>
  </r>
  <r>
    <x v="3"/>
    <x v="10"/>
    <x v="2"/>
    <n v="-556919"/>
    <x v="7"/>
    <x v="4"/>
  </r>
  <r>
    <x v="3"/>
    <x v="10"/>
    <x v="3"/>
    <n v="2169583"/>
    <x v="7"/>
    <x v="4"/>
  </r>
  <r>
    <x v="3"/>
    <x v="10"/>
    <x v="4"/>
    <n v="1604260"/>
    <x v="7"/>
    <x v="4"/>
  </r>
  <r>
    <x v="3"/>
    <x v="10"/>
    <x v="5"/>
    <n v="369644"/>
    <x v="7"/>
    <x v="4"/>
  </r>
  <r>
    <x v="3"/>
    <x v="10"/>
    <x v="6"/>
    <n v="71965"/>
    <x v="7"/>
    <x v="4"/>
  </r>
  <r>
    <x v="3"/>
    <x v="10"/>
    <x v="7"/>
    <n v="2358476"/>
    <x v="7"/>
    <x v="4"/>
  </r>
  <r>
    <x v="3"/>
    <x v="10"/>
    <x v="8"/>
    <n v="-76495"/>
    <x v="7"/>
    <x v="4"/>
  </r>
  <r>
    <x v="3"/>
    <x v="10"/>
    <x v="9"/>
    <n v="-3230950"/>
    <x v="7"/>
    <x v="4"/>
  </r>
  <r>
    <x v="3"/>
    <x v="10"/>
    <x v="10"/>
    <n v="-3865648"/>
    <x v="7"/>
    <x v="4"/>
  </r>
  <r>
    <x v="3"/>
    <x v="10"/>
    <x v="11"/>
    <n v="-4155248"/>
    <x v="7"/>
    <x v="4"/>
  </r>
  <r>
    <x v="3"/>
    <x v="10"/>
    <x v="12"/>
    <n v="1815092"/>
    <x v="7"/>
    <x v="4"/>
  </r>
  <r>
    <x v="3"/>
    <x v="10"/>
    <x v="13"/>
    <n v="2970595"/>
    <x v="7"/>
    <x v="4"/>
  </r>
  <r>
    <x v="3"/>
    <x v="10"/>
    <x v="14"/>
    <n v="3828923"/>
    <x v="7"/>
    <x v="4"/>
  </r>
  <r>
    <x v="3"/>
    <x v="10"/>
    <x v="15"/>
    <n v="1063480"/>
    <x v="7"/>
    <x v="4"/>
  </r>
  <r>
    <x v="3"/>
    <x v="10"/>
    <x v="16"/>
    <n v="-3143540"/>
    <x v="7"/>
    <x v="4"/>
  </r>
  <r>
    <x v="3"/>
    <x v="10"/>
    <x v="17"/>
    <n v="-4134904"/>
    <x v="7"/>
    <x v="4"/>
  </r>
  <r>
    <x v="3"/>
    <x v="10"/>
    <x v="18"/>
    <n v="-4883807"/>
    <x v="7"/>
    <x v="4"/>
  </r>
  <r>
    <x v="3"/>
    <x v="10"/>
    <x v="19"/>
    <n v="-4854681"/>
    <x v="7"/>
    <x v="4"/>
  </r>
  <r>
    <x v="3"/>
    <x v="10"/>
    <x v="20"/>
    <n v="-4869303"/>
    <x v="7"/>
    <x v="4"/>
  </r>
  <r>
    <x v="3"/>
    <x v="10"/>
    <x v="21"/>
    <n v="-3124932"/>
    <x v="7"/>
    <x v="4"/>
  </r>
  <r>
    <x v="3"/>
    <x v="10"/>
    <x v="22"/>
    <n v="-4614042"/>
    <x v="7"/>
    <x v="4"/>
  </r>
  <r>
    <x v="3"/>
    <x v="10"/>
    <x v="23"/>
    <n v="-4779172"/>
    <x v="7"/>
    <x v="4"/>
  </r>
  <r>
    <x v="3"/>
    <x v="10"/>
    <x v="24"/>
    <n v="-2515397"/>
    <x v="7"/>
    <x v="4"/>
  </r>
  <r>
    <x v="3"/>
    <x v="10"/>
    <x v="25"/>
    <n v="-2137719"/>
    <x v="7"/>
    <x v="4"/>
  </r>
  <r>
    <x v="3"/>
    <x v="10"/>
    <x v="26"/>
    <n v="-6822177"/>
    <x v="7"/>
    <x v="4"/>
  </r>
  <r>
    <x v="3"/>
    <x v="10"/>
    <x v="27"/>
    <n v="-7011690"/>
    <x v="7"/>
    <x v="4"/>
  </r>
  <r>
    <x v="3"/>
    <x v="10"/>
    <x v="28"/>
    <n v="-8583382"/>
    <x v="7"/>
    <x v="4"/>
  </r>
  <r>
    <x v="3"/>
    <x v="10"/>
    <x v="29"/>
    <n v="-7978966"/>
    <x v="7"/>
    <x v="4"/>
  </r>
  <r>
    <x v="3"/>
    <x v="10"/>
    <x v="30"/>
    <n v="-9213044"/>
    <x v="7"/>
    <x v="4"/>
  </r>
  <r>
    <x v="3"/>
    <x v="10"/>
    <x v="31"/>
    <n v="-10155031"/>
    <x v="7"/>
    <x v="4"/>
  </r>
  <r>
    <x v="3"/>
    <x v="10"/>
    <x v="32"/>
    <n v="-9700186"/>
    <x v="7"/>
    <x v="4"/>
  </r>
  <r>
    <x v="3"/>
    <x v="10"/>
    <x v="33"/>
    <n v="-13673978"/>
    <x v="7"/>
    <x v="4"/>
  </r>
  <r>
    <x v="3"/>
    <x v="10"/>
    <x v="34"/>
    <n v="-16729434"/>
    <x v="7"/>
    <x v="4"/>
  </r>
  <r>
    <x v="3"/>
    <x v="10"/>
    <x v="35"/>
    <n v="-12672546"/>
    <x v="7"/>
    <x v="4"/>
  </r>
  <r>
    <x v="3"/>
    <x v="10"/>
    <x v="36"/>
    <n v="-10167538"/>
    <x v="7"/>
    <x v="4"/>
  </r>
  <r>
    <x v="3"/>
    <x v="2"/>
    <x v="0"/>
    <n v="0"/>
    <x v="7"/>
    <x v="0"/>
  </r>
  <r>
    <x v="3"/>
    <x v="2"/>
    <x v="1"/>
    <n v="0"/>
    <x v="7"/>
    <x v="0"/>
  </r>
  <r>
    <x v="3"/>
    <x v="2"/>
    <x v="2"/>
    <n v="0"/>
    <x v="7"/>
    <x v="0"/>
  </r>
  <r>
    <x v="3"/>
    <x v="2"/>
    <x v="3"/>
    <n v="0"/>
    <x v="7"/>
    <x v="0"/>
  </r>
  <r>
    <x v="3"/>
    <x v="2"/>
    <x v="4"/>
    <n v="0"/>
    <x v="7"/>
    <x v="0"/>
  </r>
  <r>
    <x v="3"/>
    <x v="2"/>
    <x v="5"/>
    <n v="0"/>
    <x v="7"/>
    <x v="0"/>
  </r>
  <r>
    <x v="3"/>
    <x v="2"/>
    <x v="6"/>
    <n v="0"/>
    <x v="7"/>
    <x v="0"/>
  </r>
  <r>
    <x v="3"/>
    <x v="2"/>
    <x v="7"/>
    <n v="337496"/>
    <x v="7"/>
    <x v="0"/>
  </r>
  <r>
    <x v="3"/>
    <x v="2"/>
    <x v="8"/>
    <n v="301585"/>
    <x v="7"/>
    <x v="0"/>
  </r>
  <r>
    <x v="3"/>
    <x v="2"/>
    <x v="9"/>
    <n v="202848"/>
    <x v="7"/>
    <x v="0"/>
  </r>
  <r>
    <x v="3"/>
    <x v="2"/>
    <x v="10"/>
    <n v="226799"/>
    <x v="7"/>
    <x v="0"/>
  </r>
  <r>
    <x v="3"/>
    <x v="2"/>
    <x v="11"/>
    <n v="488983"/>
    <x v="7"/>
    <x v="0"/>
  </r>
  <r>
    <x v="3"/>
    <x v="2"/>
    <x v="12"/>
    <n v="161527"/>
    <x v="7"/>
    <x v="0"/>
  </r>
  <r>
    <x v="3"/>
    <x v="2"/>
    <x v="13"/>
    <n v="455869"/>
    <x v="7"/>
    <x v="0"/>
  </r>
  <r>
    <x v="3"/>
    <x v="2"/>
    <x v="14"/>
    <n v="11311233"/>
    <x v="7"/>
    <x v="0"/>
  </r>
  <r>
    <x v="3"/>
    <x v="2"/>
    <x v="15"/>
    <n v="4290785"/>
    <x v="7"/>
    <x v="0"/>
  </r>
  <r>
    <x v="3"/>
    <x v="2"/>
    <x v="16"/>
    <n v="7187193"/>
    <x v="7"/>
    <x v="0"/>
  </r>
  <r>
    <x v="3"/>
    <x v="2"/>
    <x v="17"/>
    <n v="6251613"/>
    <x v="7"/>
    <x v="0"/>
  </r>
  <r>
    <x v="3"/>
    <x v="2"/>
    <x v="18"/>
    <n v="206541"/>
    <x v="7"/>
    <x v="0"/>
  </r>
  <r>
    <x v="3"/>
    <x v="2"/>
    <x v="19"/>
    <n v="3942228"/>
    <x v="7"/>
    <x v="0"/>
  </r>
  <r>
    <x v="3"/>
    <x v="2"/>
    <x v="20"/>
    <n v="6937535"/>
    <x v="7"/>
    <x v="0"/>
  </r>
  <r>
    <x v="3"/>
    <x v="2"/>
    <x v="21"/>
    <n v="-458422"/>
    <x v="7"/>
    <x v="0"/>
  </r>
  <r>
    <x v="3"/>
    <x v="2"/>
    <x v="22"/>
    <n v="3338045"/>
    <x v="7"/>
    <x v="0"/>
  </r>
  <r>
    <x v="3"/>
    <x v="2"/>
    <x v="23"/>
    <n v="66684"/>
    <x v="7"/>
    <x v="0"/>
  </r>
  <r>
    <x v="3"/>
    <x v="2"/>
    <x v="24"/>
    <n v="14187568"/>
    <x v="7"/>
    <x v="0"/>
  </r>
  <r>
    <x v="3"/>
    <x v="2"/>
    <x v="25"/>
    <n v="5088042"/>
    <x v="7"/>
    <x v="0"/>
  </r>
  <r>
    <x v="3"/>
    <x v="2"/>
    <x v="26"/>
    <n v="8691617"/>
    <x v="7"/>
    <x v="0"/>
  </r>
  <r>
    <x v="3"/>
    <x v="2"/>
    <x v="27"/>
    <n v="19071172"/>
    <x v="7"/>
    <x v="0"/>
  </r>
  <r>
    <x v="3"/>
    <x v="2"/>
    <x v="28"/>
    <n v="24006743"/>
    <x v="7"/>
    <x v="0"/>
  </r>
  <r>
    <x v="3"/>
    <x v="2"/>
    <x v="29"/>
    <n v="26676462"/>
    <x v="7"/>
    <x v="0"/>
  </r>
  <r>
    <x v="3"/>
    <x v="2"/>
    <x v="30"/>
    <n v="39693310"/>
    <x v="7"/>
    <x v="0"/>
  </r>
  <r>
    <x v="3"/>
    <x v="2"/>
    <x v="31"/>
    <n v="37055030"/>
    <x v="7"/>
    <x v="0"/>
  </r>
  <r>
    <x v="3"/>
    <x v="2"/>
    <x v="32"/>
    <n v="56459419"/>
    <x v="7"/>
    <x v="0"/>
  </r>
  <r>
    <x v="3"/>
    <x v="2"/>
    <x v="33"/>
    <n v="41623706"/>
    <x v="7"/>
    <x v="0"/>
  </r>
  <r>
    <x v="3"/>
    <x v="2"/>
    <x v="34"/>
    <n v="37620787"/>
    <x v="7"/>
    <x v="0"/>
  </r>
  <r>
    <x v="3"/>
    <x v="2"/>
    <x v="35"/>
    <n v="36069171"/>
    <x v="7"/>
    <x v="0"/>
  </r>
  <r>
    <x v="3"/>
    <x v="2"/>
    <x v="36"/>
    <n v="12887826"/>
    <x v="7"/>
    <x v="0"/>
  </r>
  <r>
    <x v="3"/>
    <x v="11"/>
    <x v="0"/>
    <n v="0"/>
    <x v="3"/>
    <x v="0"/>
  </r>
  <r>
    <x v="3"/>
    <x v="11"/>
    <x v="1"/>
    <n v="0"/>
    <x v="3"/>
    <x v="0"/>
  </r>
  <r>
    <x v="3"/>
    <x v="11"/>
    <x v="2"/>
    <n v="0"/>
    <x v="3"/>
    <x v="0"/>
  </r>
  <r>
    <x v="3"/>
    <x v="11"/>
    <x v="3"/>
    <n v="0"/>
    <x v="3"/>
    <x v="0"/>
  </r>
  <r>
    <x v="3"/>
    <x v="11"/>
    <x v="4"/>
    <n v="0"/>
    <x v="3"/>
    <x v="0"/>
  </r>
  <r>
    <x v="3"/>
    <x v="11"/>
    <x v="5"/>
    <n v="0"/>
    <x v="3"/>
    <x v="0"/>
  </r>
  <r>
    <x v="3"/>
    <x v="11"/>
    <x v="6"/>
    <n v="0"/>
    <x v="3"/>
    <x v="0"/>
  </r>
  <r>
    <x v="3"/>
    <x v="11"/>
    <x v="7"/>
    <n v="0"/>
    <x v="3"/>
    <x v="0"/>
  </r>
  <r>
    <x v="3"/>
    <x v="11"/>
    <x v="8"/>
    <n v="431079"/>
    <x v="3"/>
    <x v="0"/>
  </r>
  <r>
    <x v="3"/>
    <x v="11"/>
    <x v="9"/>
    <n v="422832"/>
    <x v="3"/>
    <x v="0"/>
  </r>
  <r>
    <x v="3"/>
    <x v="11"/>
    <x v="10"/>
    <n v="440204"/>
    <x v="3"/>
    <x v="0"/>
  </r>
  <r>
    <x v="3"/>
    <x v="11"/>
    <x v="11"/>
    <n v="433671"/>
    <x v="3"/>
    <x v="0"/>
  </r>
  <r>
    <x v="3"/>
    <x v="11"/>
    <x v="12"/>
    <n v="440040"/>
    <x v="3"/>
    <x v="0"/>
  </r>
  <r>
    <x v="3"/>
    <x v="11"/>
    <x v="13"/>
    <n v="421603"/>
    <x v="3"/>
    <x v="0"/>
  </r>
  <r>
    <x v="3"/>
    <x v="11"/>
    <x v="14"/>
    <n v="418545"/>
    <x v="3"/>
    <x v="0"/>
  </r>
  <r>
    <x v="3"/>
    <x v="11"/>
    <x v="15"/>
    <n v="443104"/>
    <x v="3"/>
    <x v="0"/>
  </r>
  <r>
    <x v="3"/>
    <x v="11"/>
    <x v="16"/>
    <n v="430759"/>
    <x v="3"/>
    <x v="0"/>
  </r>
  <r>
    <x v="3"/>
    <x v="11"/>
    <x v="17"/>
    <n v="360119"/>
    <x v="3"/>
    <x v="0"/>
  </r>
  <r>
    <x v="3"/>
    <x v="11"/>
    <x v="18"/>
    <n v="362929"/>
    <x v="3"/>
    <x v="0"/>
  </r>
  <r>
    <x v="3"/>
    <x v="11"/>
    <x v="19"/>
    <n v="388137"/>
    <x v="3"/>
    <x v="0"/>
  </r>
  <r>
    <x v="3"/>
    <x v="11"/>
    <x v="20"/>
    <n v="376080"/>
    <x v="3"/>
    <x v="0"/>
  </r>
  <r>
    <x v="3"/>
    <x v="11"/>
    <x v="21"/>
    <n v="391958"/>
    <x v="3"/>
    <x v="0"/>
  </r>
  <r>
    <x v="3"/>
    <x v="11"/>
    <x v="22"/>
    <n v="393256"/>
    <x v="3"/>
    <x v="0"/>
  </r>
  <r>
    <x v="3"/>
    <x v="11"/>
    <x v="23"/>
    <n v="383894"/>
    <x v="3"/>
    <x v="0"/>
  </r>
  <r>
    <x v="3"/>
    <x v="11"/>
    <x v="24"/>
    <n v="384134"/>
    <x v="3"/>
    <x v="0"/>
  </r>
  <r>
    <x v="3"/>
    <x v="11"/>
    <x v="25"/>
    <n v="388993"/>
    <x v="3"/>
    <x v="0"/>
  </r>
  <r>
    <x v="3"/>
    <x v="11"/>
    <x v="26"/>
    <n v="391137"/>
    <x v="3"/>
    <x v="0"/>
  </r>
  <r>
    <x v="3"/>
    <x v="11"/>
    <x v="27"/>
    <n v="401883"/>
    <x v="3"/>
    <x v="0"/>
  </r>
  <r>
    <x v="3"/>
    <x v="11"/>
    <x v="28"/>
    <n v="418195"/>
    <x v="3"/>
    <x v="0"/>
  </r>
  <r>
    <x v="3"/>
    <x v="11"/>
    <x v="29"/>
    <n v="373817"/>
    <x v="3"/>
    <x v="0"/>
  </r>
  <r>
    <x v="3"/>
    <x v="11"/>
    <x v="30"/>
    <n v="375123"/>
    <x v="3"/>
    <x v="0"/>
  </r>
  <r>
    <x v="3"/>
    <x v="11"/>
    <x v="31"/>
    <n v="401340"/>
    <x v="3"/>
    <x v="0"/>
  </r>
  <r>
    <x v="3"/>
    <x v="11"/>
    <x v="32"/>
    <n v="344803"/>
    <x v="3"/>
    <x v="0"/>
  </r>
  <r>
    <x v="3"/>
    <x v="11"/>
    <x v="33"/>
    <n v="372784"/>
    <x v="3"/>
    <x v="0"/>
  </r>
  <r>
    <x v="3"/>
    <x v="11"/>
    <x v="34"/>
    <n v="400398"/>
    <x v="3"/>
    <x v="0"/>
  </r>
  <r>
    <x v="3"/>
    <x v="11"/>
    <x v="35"/>
    <n v="434250"/>
    <x v="3"/>
    <x v="0"/>
  </r>
  <r>
    <x v="3"/>
    <x v="11"/>
    <x v="36"/>
    <n v="409249"/>
    <x v="3"/>
    <x v="0"/>
  </r>
  <r>
    <x v="3"/>
    <x v="12"/>
    <x v="0"/>
    <n v="0"/>
    <x v="3"/>
    <x v="0"/>
  </r>
  <r>
    <x v="3"/>
    <x v="12"/>
    <x v="1"/>
    <n v="0"/>
    <x v="3"/>
    <x v="0"/>
  </r>
  <r>
    <x v="3"/>
    <x v="12"/>
    <x v="2"/>
    <n v="0"/>
    <x v="3"/>
    <x v="0"/>
  </r>
  <r>
    <x v="3"/>
    <x v="12"/>
    <x v="3"/>
    <n v="0"/>
    <x v="3"/>
    <x v="0"/>
  </r>
  <r>
    <x v="3"/>
    <x v="12"/>
    <x v="4"/>
    <n v="0"/>
    <x v="3"/>
    <x v="0"/>
  </r>
  <r>
    <x v="3"/>
    <x v="12"/>
    <x v="5"/>
    <n v="0"/>
    <x v="3"/>
    <x v="0"/>
  </r>
  <r>
    <x v="3"/>
    <x v="12"/>
    <x v="6"/>
    <n v="0"/>
    <x v="3"/>
    <x v="0"/>
  </r>
  <r>
    <x v="3"/>
    <x v="12"/>
    <x v="7"/>
    <n v="0"/>
    <x v="3"/>
    <x v="0"/>
  </r>
  <r>
    <x v="3"/>
    <x v="12"/>
    <x v="8"/>
    <n v="0"/>
    <x v="3"/>
    <x v="0"/>
  </r>
  <r>
    <x v="3"/>
    <x v="12"/>
    <x v="9"/>
    <n v="0"/>
    <x v="3"/>
    <x v="0"/>
  </r>
  <r>
    <x v="3"/>
    <x v="12"/>
    <x v="10"/>
    <n v="0"/>
    <x v="3"/>
    <x v="0"/>
  </r>
  <r>
    <x v="3"/>
    <x v="12"/>
    <x v="11"/>
    <n v="0"/>
    <x v="3"/>
    <x v="0"/>
  </r>
  <r>
    <x v="3"/>
    <x v="12"/>
    <x v="12"/>
    <n v="37585"/>
    <x v="3"/>
    <x v="0"/>
  </r>
  <r>
    <x v="3"/>
    <x v="12"/>
    <x v="13"/>
    <n v="68849"/>
    <x v="3"/>
    <x v="0"/>
  </r>
  <r>
    <x v="3"/>
    <x v="12"/>
    <x v="14"/>
    <n v="186923"/>
    <x v="3"/>
    <x v="0"/>
  </r>
  <r>
    <x v="3"/>
    <x v="12"/>
    <x v="15"/>
    <n v="203933"/>
    <x v="3"/>
    <x v="0"/>
  </r>
  <r>
    <x v="3"/>
    <x v="12"/>
    <x v="16"/>
    <n v="260107"/>
    <x v="3"/>
    <x v="0"/>
  </r>
  <r>
    <x v="3"/>
    <x v="12"/>
    <x v="17"/>
    <n v="349435"/>
    <x v="3"/>
    <x v="0"/>
  </r>
  <r>
    <x v="3"/>
    <x v="12"/>
    <x v="18"/>
    <n v="507688"/>
    <x v="3"/>
    <x v="0"/>
  </r>
  <r>
    <x v="3"/>
    <x v="12"/>
    <x v="19"/>
    <n v="572715"/>
    <x v="3"/>
    <x v="0"/>
  </r>
  <r>
    <x v="3"/>
    <x v="12"/>
    <x v="20"/>
    <n v="588469"/>
    <x v="3"/>
    <x v="0"/>
  </r>
  <r>
    <x v="3"/>
    <x v="12"/>
    <x v="21"/>
    <n v="729918"/>
    <x v="3"/>
    <x v="0"/>
  </r>
  <r>
    <x v="3"/>
    <x v="12"/>
    <x v="22"/>
    <n v="802173"/>
    <x v="3"/>
    <x v="0"/>
  </r>
  <r>
    <x v="3"/>
    <x v="12"/>
    <x v="23"/>
    <n v="857000"/>
    <x v="3"/>
    <x v="0"/>
  </r>
  <r>
    <x v="3"/>
    <x v="12"/>
    <x v="24"/>
    <n v="934092"/>
    <x v="3"/>
    <x v="0"/>
  </r>
  <r>
    <x v="3"/>
    <x v="12"/>
    <x v="25"/>
    <n v="981467"/>
    <x v="3"/>
    <x v="0"/>
  </r>
  <r>
    <x v="3"/>
    <x v="12"/>
    <x v="26"/>
    <n v="988890"/>
    <x v="3"/>
    <x v="0"/>
  </r>
  <r>
    <x v="3"/>
    <x v="12"/>
    <x v="27"/>
    <n v="997800"/>
    <x v="3"/>
    <x v="0"/>
  </r>
  <r>
    <x v="3"/>
    <x v="12"/>
    <x v="28"/>
    <n v="244120"/>
    <x v="3"/>
    <x v="0"/>
  </r>
  <r>
    <x v="3"/>
    <x v="12"/>
    <x v="29"/>
    <n v="215011"/>
    <x v="3"/>
    <x v="0"/>
  </r>
  <r>
    <x v="3"/>
    <x v="12"/>
    <x v="30"/>
    <n v="218806"/>
    <x v="3"/>
    <x v="0"/>
  </r>
  <r>
    <x v="3"/>
    <x v="12"/>
    <x v="31"/>
    <n v="74633"/>
    <x v="3"/>
    <x v="0"/>
  </r>
  <r>
    <x v="3"/>
    <x v="12"/>
    <x v="32"/>
    <n v="97847"/>
    <x v="3"/>
    <x v="0"/>
  </r>
  <r>
    <x v="3"/>
    <x v="12"/>
    <x v="33"/>
    <n v="104511"/>
    <x v="3"/>
    <x v="0"/>
  </r>
  <r>
    <x v="3"/>
    <x v="12"/>
    <x v="34"/>
    <n v="112174"/>
    <x v="3"/>
    <x v="0"/>
  </r>
  <r>
    <x v="3"/>
    <x v="12"/>
    <x v="35"/>
    <n v="110105"/>
    <x v="3"/>
    <x v="0"/>
  </r>
  <r>
    <x v="3"/>
    <x v="12"/>
    <x v="36"/>
    <n v="105354"/>
    <x v="3"/>
    <x v="0"/>
  </r>
  <r>
    <x v="3"/>
    <x v="13"/>
    <x v="0"/>
    <n v="0"/>
    <x v="3"/>
    <x v="0"/>
  </r>
  <r>
    <x v="3"/>
    <x v="13"/>
    <x v="1"/>
    <n v="0"/>
    <x v="3"/>
    <x v="0"/>
  </r>
  <r>
    <x v="3"/>
    <x v="13"/>
    <x v="2"/>
    <n v="0"/>
    <x v="3"/>
    <x v="0"/>
  </r>
  <r>
    <x v="3"/>
    <x v="13"/>
    <x v="3"/>
    <n v="0"/>
    <x v="3"/>
    <x v="0"/>
  </r>
  <r>
    <x v="3"/>
    <x v="13"/>
    <x v="4"/>
    <n v="0"/>
    <x v="3"/>
    <x v="0"/>
  </r>
  <r>
    <x v="3"/>
    <x v="13"/>
    <x v="5"/>
    <n v="0"/>
    <x v="3"/>
    <x v="0"/>
  </r>
  <r>
    <x v="3"/>
    <x v="13"/>
    <x v="6"/>
    <n v="0"/>
    <x v="3"/>
    <x v="0"/>
  </r>
  <r>
    <x v="3"/>
    <x v="13"/>
    <x v="7"/>
    <n v="0"/>
    <x v="3"/>
    <x v="0"/>
  </r>
  <r>
    <x v="3"/>
    <x v="13"/>
    <x v="8"/>
    <n v="0"/>
    <x v="3"/>
    <x v="0"/>
  </r>
  <r>
    <x v="3"/>
    <x v="13"/>
    <x v="9"/>
    <n v="0"/>
    <x v="3"/>
    <x v="0"/>
  </r>
  <r>
    <x v="3"/>
    <x v="13"/>
    <x v="10"/>
    <n v="0"/>
    <x v="3"/>
    <x v="0"/>
  </r>
  <r>
    <x v="3"/>
    <x v="13"/>
    <x v="11"/>
    <n v="0"/>
    <x v="3"/>
    <x v="0"/>
  </r>
  <r>
    <x v="3"/>
    <x v="13"/>
    <x v="12"/>
    <n v="0"/>
    <x v="3"/>
    <x v="0"/>
  </r>
  <r>
    <x v="3"/>
    <x v="13"/>
    <x v="13"/>
    <n v="0"/>
    <x v="3"/>
    <x v="0"/>
  </r>
  <r>
    <x v="3"/>
    <x v="13"/>
    <x v="14"/>
    <n v="0"/>
    <x v="3"/>
    <x v="0"/>
  </r>
  <r>
    <x v="3"/>
    <x v="13"/>
    <x v="15"/>
    <n v="0"/>
    <x v="3"/>
    <x v="0"/>
  </r>
  <r>
    <x v="3"/>
    <x v="13"/>
    <x v="16"/>
    <n v="67"/>
    <x v="3"/>
    <x v="0"/>
  </r>
  <r>
    <x v="3"/>
    <x v="13"/>
    <x v="17"/>
    <n v="580"/>
    <x v="3"/>
    <x v="0"/>
  </r>
  <r>
    <x v="3"/>
    <x v="13"/>
    <x v="18"/>
    <n v="895"/>
    <x v="3"/>
    <x v="0"/>
  </r>
  <r>
    <x v="3"/>
    <x v="13"/>
    <x v="19"/>
    <n v="625"/>
    <x v="3"/>
    <x v="0"/>
  </r>
  <r>
    <x v="3"/>
    <x v="13"/>
    <x v="20"/>
    <n v="5161"/>
    <x v="3"/>
    <x v="0"/>
  </r>
  <r>
    <x v="3"/>
    <x v="13"/>
    <x v="21"/>
    <n v="158788"/>
    <x v="3"/>
    <x v="0"/>
  </r>
  <r>
    <x v="3"/>
    <x v="13"/>
    <x v="22"/>
    <n v="117356"/>
    <x v="3"/>
    <x v="0"/>
  </r>
  <r>
    <x v="3"/>
    <x v="13"/>
    <x v="23"/>
    <n v="172091"/>
    <x v="3"/>
    <x v="0"/>
  </r>
  <r>
    <x v="3"/>
    <x v="13"/>
    <x v="24"/>
    <n v="239057"/>
    <x v="3"/>
    <x v="0"/>
  </r>
  <r>
    <x v="3"/>
    <x v="13"/>
    <x v="25"/>
    <n v="186660"/>
    <x v="3"/>
    <x v="0"/>
  </r>
  <r>
    <x v="3"/>
    <x v="13"/>
    <x v="26"/>
    <n v="144174"/>
    <x v="3"/>
    <x v="0"/>
  </r>
  <r>
    <x v="3"/>
    <x v="13"/>
    <x v="27"/>
    <n v="302250"/>
    <x v="3"/>
    <x v="0"/>
  </r>
  <r>
    <x v="3"/>
    <x v="13"/>
    <x v="28"/>
    <n v="263376"/>
    <x v="3"/>
    <x v="0"/>
  </r>
  <r>
    <x v="3"/>
    <x v="13"/>
    <x v="29"/>
    <n v="593494"/>
    <x v="3"/>
    <x v="0"/>
  </r>
  <r>
    <x v="3"/>
    <x v="13"/>
    <x v="30"/>
    <n v="488969"/>
    <x v="3"/>
    <x v="0"/>
  </r>
  <r>
    <x v="3"/>
    <x v="13"/>
    <x v="31"/>
    <n v="655127"/>
    <x v="3"/>
    <x v="0"/>
  </r>
  <r>
    <x v="3"/>
    <x v="13"/>
    <x v="32"/>
    <n v="677214"/>
    <x v="3"/>
    <x v="0"/>
  </r>
  <r>
    <x v="3"/>
    <x v="13"/>
    <x v="33"/>
    <n v="597975"/>
    <x v="3"/>
    <x v="0"/>
  </r>
  <r>
    <x v="3"/>
    <x v="13"/>
    <x v="34"/>
    <n v="425372"/>
    <x v="3"/>
    <x v="0"/>
  </r>
  <r>
    <x v="3"/>
    <x v="13"/>
    <x v="35"/>
    <n v="467089"/>
    <x v="3"/>
    <x v="0"/>
  </r>
  <r>
    <x v="3"/>
    <x v="13"/>
    <x v="36"/>
    <n v="638562"/>
    <x v="3"/>
    <x v="0"/>
  </r>
  <r>
    <x v="3"/>
    <x v="14"/>
    <x v="0"/>
    <n v="7061"/>
    <x v="3"/>
    <x v="0"/>
  </r>
  <r>
    <x v="3"/>
    <x v="14"/>
    <x v="1"/>
    <n v="10979"/>
    <x v="3"/>
    <x v="0"/>
  </r>
  <r>
    <x v="3"/>
    <x v="14"/>
    <x v="2"/>
    <n v="15031"/>
    <x v="3"/>
    <x v="0"/>
  </r>
  <r>
    <x v="3"/>
    <x v="14"/>
    <x v="3"/>
    <n v="14084"/>
    <x v="3"/>
    <x v="0"/>
  </r>
  <r>
    <x v="3"/>
    <x v="14"/>
    <x v="4"/>
    <n v="14322"/>
    <x v="3"/>
    <x v="0"/>
  </r>
  <r>
    <x v="3"/>
    <x v="14"/>
    <x v="5"/>
    <n v="18144"/>
    <x v="3"/>
    <x v="0"/>
  </r>
  <r>
    <x v="3"/>
    <x v="14"/>
    <x v="6"/>
    <n v="24117"/>
    <x v="3"/>
    <x v="0"/>
  </r>
  <r>
    <x v="3"/>
    <x v="14"/>
    <x v="7"/>
    <n v="22967"/>
    <x v="3"/>
    <x v="0"/>
  </r>
  <r>
    <x v="3"/>
    <x v="14"/>
    <x v="8"/>
    <n v="18643"/>
    <x v="3"/>
    <x v="0"/>
  </r>
  <r>
    <x v="3"/>
    <x v="14"/>
    <x v="9"/>
    <n v="26424"/>
    <x v="3"/>
    <x v="0"/>
  </r>
  <r>
    <x v="3"/>
    <x v="14"/>
    <x v="10"/>
    <n v="34852"/>
    <x v="3"/>
    <x v="0"/>
  </r>
  <r>
    <x v="3"/>
    <x v="14"/>
    <x v="11"/>
    <n v="43869"/>
    <x v="3"/>
    <x v="0"/>
  </r>
  <r>
    <x v="3"/>
    <x v="14"/>
    <x v="12"/>
    <n v="43384"/>
    <x v="3"/>
    <x v="0"/>
  </r>
  <r>
    <x v="3"/>
    <x v="14"/>
    <x v="13"/>
    <n v="54052"/>
    <x v="3"/>
    <x v="0"/>
  </r>
  <r>
    <x v="3"/>
    <x v="14"/>
    <x v="14"/>
    <n v="70193"/>
    <x v="3"/>
    <x v="0"/>
  </r>
  <r>
    <x v="3"/>
    <x v="14"/>
    <x v="15"/>
    <n v="69198"/>
    <x v="3"/>
    <x v="0"/>
  </r>
  <r>
    <x v="3"/>
    <x v="14"/>
    <x v="16"/>
    <n v="54300"/>
    <x v="3"/>
    <x v="0"/>
  </r>
  <r>
    <x v="3"/>
    <x v="14"/>
    <x v="17"/>
    <n v="37633"/>
    <x v="3"/>
    <x v="0"/>
  </r>
  <r>
    <x v="3"/>
    <x v="14"/>
    <x v="18"/>
    <n v="72090"/>
    <x v="3"/>
    <x v="0"/>
  </r>
  <r>
    <x v="3"/>
    <x v="14"/>
    <x v="19"/>
    <n v="67128"/>
    <x v="3"/>
    <x v="0"/>
  </r>
  <r>
    <x v="3"/>
    <x v="14"/>
    <x v="20"/>
    <n v="70162"/>
    <x v="3"/>
    <x v="0"/>
  </r>
  <r>
    <x v="3"/>
    <x v="14"/>
    <x v="21"/>
    <n v="108611"/>
    <x v="3"/>
    <x v="0"/>
  </r>
  <r>
    <x v="3"/>
    <x v="14"/>
    <x v="22"/>
    <n v="141880"/>
    <x v="3"/>
    <x v="0"/>
  </r>
  <r>
    <x v="3"/>
    <x v="14"/>
    <x v="23"/>
    <n v="139929"/>
    <x v="3"/>
    <x v="0"/>
  </r>
  <r>
    <x v="3"/>
    <x v="14"/>
    <x v="24"/>
    <n v="144219"/>
    <x v="3"/>
    <x v="0"/>
  </r>
  <r>
    <x v="3"/>
    <x v="14"/>
    <x v="25"/>
    <n v="205827"/>
    <x v="3"/>
    <x v="0"/>
  </r>
  <r>
    <x v="3"/>
    <x v="14"/>
    <x v="26"/>
    <n v="264249"/>
    <x v="3"/>
    <x v="0"/>
  </r>
  <r>
    <x v="3"/>
    <x v="14"/>
    <x v="27"/>
    <n v="264419"/>
    <x v="3"/>
    <x v="0"/>
  </r>
  <r>
    <x v="3"/>
    <x v="14"/>
    <x v="28"/>
    <n v="241448"/>
    <x v="3"/>
    <x v="0"/>
  </r>
  <r>
    <x v="3"/>
    <x v="14"/>
    <x v="29"/>
    <n v="301026"/>
    <x v="3"/>
    <x v="0"/>
  </r>
  <r>
    <x v="3"/>
    <x v="14"/>
    <x v="30"/>
    <n v="400546"/>
    <x v="3"/>
    <x v="0"/>
  </r>
  <r>
    <x v="3"/>
    <x v="14"/>
    <x v="31"/>
    <n v="424311"/>
    <x v="3"/>
    <x v="0"/>
  </r>
  <r>
    <x v="3"/>
    <x v="14"/>
    <x v="32"/>
    <n v="349198"/>
    <x v="3"/>
    <x v="0"/>
  </r>
  <r>
    <x v="3"/>
    <x v="14"/>
    <x v="33"/>
    <n v="437381"/>
    <x v="3"/>
    <x v="0"/>
  </r>
  <r>
    <x v="3"/>
    <x v="14"/>
    <x v="34"/>
    <n v="555409"/>
    <x v="3"/>
    <x v="0"/>
  </r>
  <r>
    <x v="3"/>
    <x v="14"/>
    <x v="35"/>
    <n v="560665"/>
    <x v="3"/>
    <x v="0"/>
  </r>
  <r>
    <x v="3"/>
    <x v="14"/>
    <x v="36"/>
    <n v="542119"/>
    <x v="3"/>
    <x v="0"/>
  </r>
  <r>
    <x v="3"/>
    <x v="27"/>
    <x v="0"/>
    <n v="303146.87179607654"/>
    <x v="3"/>
    <x v="0"/>
  </r>
  <r>
    <x v="3"/>
    <x v="27"/>
    <x v="1"/>
    <n v="303146.87179607654"/>
    <x v="3"/>
    <x v="0"/>
  </r>
  <r>
    <x v="3"/>
    <x v="27"/>
    <x v="2"/>
    <n v="303146.87179607654"/>
    <x v="3"/>
    <x v="0"/>
  </r>
  <r>
    <x v="3"/>
    <x v="27"/>
    <x v="3"/>
    <n v="303146.87179607654"/>
    <x v="3"/>
    <x v="0"/>
  </r>
  <r>
    <x v="3"/>
    <x v="27"/>
    <x v="4"/>
    <n v="370506.58883082954"/>
    <x v="3"/>
    <x v="0"/>
  </r>
  <r>
    <x v="3"/>
    <x v="27"/>
    <x v="5"/>
    <n v="370506.58883082954"/>
    <x v="3"/>
    <x v="0"/>
  </r>
  <r>
    <x v="3"/>
    <x v="27"/>
    <x v="6"/>
    <n v="370506.58883082954"/>
    <x v="3"/>
    <x v="0"/>
  </r>
  <r>
    <x v="3"/>
    <x v="27"/>
    <x v="7"/>
    <n v="370506.58883082954"/>
    <x v="3"/>
    <x v="0"/>
  </r>
  <r>
    <x v="3"/>
    <x v="27"/>
    <x v="8"/>
    <n v="500680.88259307639"/>
    <x v="3"/>
    <x v="0"/>
  </r>
  <r>
    <x v="3"/>
    <x v="27"/>
    <x v="9"/>
    <n v="500680.88259307639"/>
    <x v="3"/>
    <x v="0"/>
  </r>
  <r>
    <x v="3"/>
    <x v="27"/>
    <x v="10"/>
    <n v="500680.88259307639"/>
    <x v="3"/>
    <x v="0"/>
  </r>
  <r>
    <x v="3"/>
    <x v="27"/>
    <x v="11"/>
    <n v="500680.88259307639"/>
    <x v="3"/>
    <x v="0"/>
  </r>
  <r>
    <x v="3"/>
    <x v="27"/>
    <x v="12"/>
    <n v="638196.00342913123"/>
    <x v="3"/>
    <x v="0"/>
  </r>
  <r>
    <x v="3"/>
    <x v="27"/>
    <x v="13"/>
    <n v="638196.00342913123"/>
    <x v="3"/>
    <x v="0"/>
  </r>
  <r>
    <x v="3"/>
    <x v="27"/>
    <x v="14"/>
    <n v="638196.00342913123"/>
    <x v="3"/>
    <x v="0"/>
  </r>
  <r>
    <x v="3"/>
    <x v="27"/>
    <x v="15"/>
    <n v="638196.00342913123"/>
    <x v="3"/>
    <x v="0"/>
  </r>
  <r>
    <x v="3"/>
    <x v="27"/>
    <x v="16"/>
    <n v="757108.28298497712"/>
    <x v="3"/>
    <x v="0"/>
  </r>
  <r>
    <x v="3"/>
    <x v="27"/>
    <x v="17"/>
    <n v="757108.28298497712"/>
    <x v="3"/>
    <x v="0"/>
  </r>
  <r>
    <x v="3"/>
    <x v="27"/>
    <x v="18"/>
    <n v="757108.28298497712"/>
    <x v="3"/>
    <x v="0"/>
  </r>
  <r>
    <x v="3"/>
    <x v="27"/>
    <x v="19"/>
    <n v="757108.28298497712"/>
    <x v="3"/>
    <x v="0"/>
  </r>
  <r>
    <x v="3"/>
    <x v="27"/>
    <x v="20"/>
    <n v="957266.83540169825"/>
    <x v="3"/>
    <x v="0"/>
  </r>
  <r>
    <x v="3"/>
    <x v="27"/>
    <x v="21"/>
    <n v="957266.83540169825"/>
    <x v="3"/>
    <x v="0"/>
  </r>
  <r>
    <x v="3"/>
    <x v="27"/>
    <x v="22"/>
    <n v="1153045.1257348137"/>
    <x v="3"/>
    <x v="0"/>
  </r>
  <r>
    <x v="3"/>
    <x v="27"/>
    <x v="23"/>
    <n v="1153045.1257348137"/>
    <x v="3"/>
    <x v="0"/>
  </r>
  <r>
    <x v="3"/>
    <x v="27"/>
    <x v="24"/>
    <n v="1489651.8713259308"/>
    <x v="3"/>
    <x v="0"/>
  </r>
  <r>
    <x v="3"/>
    <x v="27"/>
    <x v="25"/>
    <n v="1489651.8713259308"/>
    <x v="3"/>
    <x v="0"/>
  </r>
  <r>
    <x v="3"/>
    <x v="27"/>
    <x v="26"/>
    <n v="1524823.3834095362"/>
    <x v="3"/>
    <x v="0"/>
  </r>
  <r>
    <x v="3"/>
    <x v="27"/>
    <x v="27"/>
    <n v="1524823.3834095362"/>
    <x v="3"/>
    <x v="0"/>
  </r>
  <r>
    <x v="3"/>
    <x v="27"/>
    <x v="28"/>
    <n v="1710463"/>
    <x v="3"/>
    <x v="0"/>
  </r>
  <r>
    <x v="3"/>
    <x v="27"/>
    <x v="29"/>
    <n v="1710463"/>
    <x v="3"/>
    <x v="0"/>
  </r>
  <r>
    <x v="3"/>
    <x v="27"/>
    <x v="30"/>
    <n v="2152660"/>
    <x v="3"/>
    <x v="0"/>
  </r>
  <r>
    <x v="3"/>
    <x v="27"/>
    <x v="31"/>
    <n v="2152660"/>
    <x v="3"/>
    <x v="0"/>
  </r>
  <r>
    <x v="3"/>
    <x v="27"/>
    <x v="32"/>
    <n v="2184215"/>
    <x v="3"/>
    <x v="0"/>
  </r>
  <r>
    <x v="3"/>
    <x v="27"/>
    <x v="33"/>
    <n v="2184215"/>
    <x v="3"/>
    <x v="0"/>
  </r>
  <r>
    <x v="3"/>
    <x v="27"/>
    <x v="34"/>
    <n v="2498030"/>
    <x v="3"/>
    <x v="0"/>
  </r>
  <r>
    <x v="3"/>
    <x v="27"/>
    <x v="35"/>
    <n v="2498030"/>
    <x v="3"/>
    <x v="0"/>
  </r>
  <r>
    <x v="3"/>
    <x v="27"/>
    <x v="36"/>
    <n v="0"/>
    <x v="3"/>
    <x v="0"/>
  </r>
  <r>
    <x v="3"/>
    <x v="17"/>
    <x v="0"/>
    <n v="10084584"/>
    <x v="4"/>
    <x v="0"/>
  </r>
  <r>
    <x v="3"/>
    <x v="17"/>
    <x v="1"/>
    <n v="10636624"/>
    <x v="4"/>
    <x v="0"/>
  </r>
  <r>
    <x v="3"/>
    <x v="17"/>
    <x v="2"/>
    <n v="9704693"/>
    <x v="4"/>
    <x v="0"/>
  </r>
  <r>
    <x v="3"/>
    <x v="17"/>
    <x v="3"/>
    <n v="10227805"/>
    <x v="4"/>
    <x v="0"/>
  </r>
  <r>
    <x v="3"/>
    <x v="17"/>
    <x v="4"/>
    <n v="9776863"/>
    <x v="4"/>
    <x v="0"/>
  </r>
  <r>
    <x v="3"/>
    <x v="17"/>
    <x v="5"/>
    <n v="9310276"/>
    <x v="4"/>
    <x v="0"/>
  </r>
  <r>
    <x v="3"/>
    <x v="17"/>
    <x v="6"/>
    <n v="9212448"/>
    <x v="4"/>
    <x v="0"/>
  </r>
  <r>
    <x v="3"/>
    <x v="17"/>
    <x v="7"/>
    <n v="8937202"/>
    <x v="4"/>
    <x v="0"/>
  </r>
  <r>
    <x v="3"/>
    <x v="17"/>
    <x v="8"/>
    <n v="8411434"/>
    <x v="4"/>
    <x v="0"/>
  </r>
  <r>
    <x v="3"/>
    <x v="17"/>
    <x v="9"/>
    <n v="8861240"/>
    <x v="4"/>
    <x v="0"/>
  </r>
  <r>
    <x v="3"/>
    <x v="17"/>
    <x v="10"/>
    <n v="9273634"/>
    <x v="4"/>
    <x v="0"/>
  </r>
  <r>
    <x v="3"/>
    <x v="17"/>
    <x v="11"/>
    <n v="8795011"/>
    <x v="4"/>
    <x v="0"/>
  </r>
  <r>
    <x v="3"/>
    <x v="17"/>
    <x v="12"/>
    <n v="7797055"/>
    <x v="4"/>
    <x v="0"/>
  </r>
  <r>
    <x v="3"/>
    <x v="17"/>
    <x v="13"/>
    <n v="9379218"/>
    <x v="4"/>
    <x v="0"/>
  </r>
  <r>
    <x v="3"/>
    <x v="17"/>
    <x v="14"/>
    <n v="14044376"/>
    <x v="4"/>
    <x v="0"/>
  </r>
  <r>
    <x v="3"/>
    <x v="17"/>
    <x v="15"/>
    <n v="13891154"/>
    <x v="4"/>
    <x v="0"/>
  </r>
  <r>
    <x v="3"/>
    <x v="17"/>
    <x v="16"/>
    <n v="12854775"/>
    <x v="4"/>
    <x v="0"/>
  </r>
  <r>
    <x v="3"/>
    <x v="17"/>
    <x v="17"/>
    <n v="13932401"/>
    <x v="4"/>
    <x v="0"/>
  </r>
  <r>
    <x v="3"/>
    <x v="17"/>
    <x v="18"/>
    <n v="19053482"/>
    <x v="4"/>
    <x v="0"/>
  </r>
  <r>
    <x v="3"/>
    <x v="17"/>
    <x v="19"/>
    <n v="27292139"/>
    <x v="4"/>
    <x v="0"/>
  </r>
  <r>
    <x v="3"/>
    <x v="17"/>
    <x v="20"/>
    <n v="22584196"/>
    <x v="4"/>
    <x v="0"/>
  </r>
  <r>
    <x v="3"/>
    <x v="17"/>
    <x v="21"/>
    <n v="35493502"/>
    <x v="4"/>
    <x v="0"/>
  </r>
  <r>
    <x v="3"/>
    <x v="17"/>
    <x v="22"/>
    <n v="34468597"/>
    <x v="4"/>
    <x v="0"/>
  </r>
  <r>
    <x v="3"/>
    <x v="17"/>
    <x v="23"/>
    <n v="28661261"/>
    <x v="4"/>
    <x v="0"/>
  </r>
  <r>
    <x v="3"/>
    <x v="17"/>
    <x v="24"/>
    <n v="25243607"/>
    <x v="4"/>
    <x v="0"/>
  </r>
  <r>
    <x v="3"/>
    <x v="17"/>
    <x v="25"/>
    <n v="32001986"/>
    <x v="4"/>
    <x v="0"/>
  </r>
  <r>
    <x v="3"/>
    <x v="17"/>
    <x v="26"/>
    <n v="28346134"/>
    <x v="4"/>
    <x v="0"/>
  </r>
  <r>
    <x v="3"/>
    <x v="17"/>
    <x v="27"/>
    <n v="28895213"/>
    <x v="4"/>
    <x v="0"/>
  </r>
  <r>
    <x v="3"/>
    <x v="17"/>
    <x v="28"/>
    <n v="28979394"/>
    <x v="4"/>
    <x v="0"/>
  </r>
  <r>
    <x v="3"/>
    <x v="17"/>
    <x v="29"/>
    <n v="29537228"/>
    <x v="4"/>
    <x v="0"/>
  </r>
  <r>
    <x v="3"/>
    <x v="17"/>
    <x v="30"/>
    <n v="23540524"/>
    <x v="4"/>
    <x v="0"/>
  </r>
  <r>
    <x v="3"/>
    <x v="17"/>
    <x v="31"/>
    <n v="24824556"/>
    <x v="4"/>
    <x v="0"/>
  </r>
  <r>
    <x v="3"/>
    <x v="17"/>
    <x v="32"/>
    <n v="21732813"/>
    <x v="4"/>
    <x v="0"/>
  </r>
  <r>
    <x v="3"/>
    <x v="17"/>
    <x v="33"/>
    <n v="31069826"/>
    <x v="4"/>
    <x v="0"/>
  </r>
  <r>
    <x v="3"/>
    <x v="17"/>
    <x v="34"/>
    <n v="28599722"/>
    <x v="4"/>
    <x v="0"/>
  </r>
  <r>
    <x v="3"/>
    <x v="17"/>
    <x v="35"/>
    <n v="28450521"/>
    <x v="4"/>
    <x v="0"/>
  </r>
  <r>
    <x v="3"/>
    <x v="17"/>
    <x v="36"/>
    <n v="27510083"/>
    <x v="4"/>
    <x v="0"/>
  </r>
  <r>
    <x v="3"/>
    <x v="18"/>
    <x v="0"/>
    <n v="1219304"/>
    <x v="4"/>
    <x v="0"/>
  </r>
  <r>
    <x v="3"/>
    <x v="18"/>
    <x v="1"/>
    <n v="0"/>
    <x v="4"/>
    <x v="0"/>
  </r>
  <r>
    <x v="3"/>
    <x v="18"/>
    <x v="2"/>
    <n v="341382"/>
    <x v="4"/>
    <x v="0"/>
  </r>
  <r>
    <x v="3"/>
    <x v="18"/>
    <x v="3"/>
    <n v="0"/>
    <x v="4"/>
    <x v="0"/>
  </r>
  <r>
    <x v="3"/>
    <x v="18"/>
    <x v="4"/>
    <n v="0"/>
    <x v="4"/>
    <x v="0"/>
  </r>
  <r>
    <x v="3"/>
    <x v="18"/>
    <x v="5"/>
    <n v="0"/>
    <x v="4"/>
    <x v="0"/>
  </r>
  <r>
    <x v="3"/>
    <x v="18"/>
    <x v="6"/>
    <n v="0"/>
    <x v="4"/>
    <x v="0"/>
  </r>
  <r>
    <x v="3"/>
    <x v="18"/>
    <x v="7"/>
    <n v="0"/>
    <x v="4"/>
    <x v="0"/>
  </r>
  <r>
    <x v="3"/>
    <x v="18"/>
    <x v="8"/>
    <n v="0"/>
    <x v="4"/>
    <x v="0"/>
  </r>
  <r>
    <x v="3"/>
    <x v="18"/>
    <x v="9"/>
    <n v="0"/>
    <x v="4"/>
    <x v="0"/>
  </r>
  <r>
    <x v="3"/>
    <x v="18"/>
    <x v="10"/>
    <n v="0"/>
    <x v="4"/>
    <x v="0"/>
  </r>
  <r>
    <x v="3"/>
    <x v="18"/>
    <x v="11"/>
    <n v="0"/>
    <x v="4"/>
    <x v="0"/>
  </r>
  <r>
    <x v="3"/>
    <x v="18"/>
    <x v="12"/>
    <n v="0"/>
    <x v="4"/>
    <x v="0"/>
  </r>
  <r>
    <x v="3"/>
    <x v="18"/>
    <x v="13"/>
    <n v="298937"/>
    <x v="4"/>
    <x v="0"/>
  </r>
  <r>
    <x v="3"/>
    <x v="18"/>
    <x v="14"/>
    <n v="0"/>
    <x v="4"/>
    <x v="0"/>
  </r>
  <r>
    <x v="3"/>
    <x v="18"/>
    <x v="15"/>
    <n v="172797"/>
    <x v="4"/>
    <x v="0"/>
  </r>
  <r>
    <x v="3"/>
    <x v="18"/>
    <x v="16"/>
    <n v="9787"/>
    <x v="4"/>
    <x v="0"/>
  </r>
  <r>
    <x v="3"/>
    <x v="18"/>
    <x v="17"/>
    <n v="53494"/>
    <x v="4"/>
    <x v="0"/>
  </r>
  <r>
    <x v="3"/>
    <x v="18"/>
    <x v="18"/>
    <n v="-312"/>
    <x v="4"/>
    <x v="0"/>
  </r>
  <r>
    <x v="3"/>
    <x v="18"/>
    <x v="19"/>
    <n v="0"/>
    <x v="4"/>
    <x v="0"/>
  </r>
  <r>
    <x v="3"/>
    <x v="18"/>
    <x v="20"/>
    <n v="0"/>
    <x v="4"/>
    <x v="0"/>
  </r>
  <r>
    <x v="3"/>
    <x v="18"/>
    <x v="21"/>
    <n v="0"/>
    <x v="4"/>
    <x v="0"/>
  </r>
  <r>
    <x v="3"/>
    <x v="18"/>
    <x v="22"/>
    <n v="0"/>
    <x v="4"/>
    <x v="0"/>
  </r>
  <r>
    <x v="3"/>
    <x v="18"/>
    <x v="23"/>
    <n v="0"/>
    <x v="4"/>
    <x v="0"/>
  </r>
  <r>
    <x v="3"/>
    <x v="18"/>
    <x v="24"/>
    <n v="0"/>
    <x v="4"/>
    <x v="0"/>
  </r>
  <r>
    <x v="3"/>
    <x v="18"/>
    <x v="25"/>
    <n v="0"/>
    <x v="4"/>
    <x v="0"/>
  </r>
  <r>
    <x v="3"/>
    <x v="18"/>
    <x v="26"/>
    <n v="0"/>
    <x v="4"/>
    <x v="0"/>
  </r>
  <r>
    <x v="3"/>
    <x v="18"/>
    <x v="27"/>
    <n v="0"/>
    <x v="4"/>
    <x v="0"/>
  </r>
  <r>
    <x v="3"/>
    <x v="18"/>
    <x v="28"/>
    <n v="40197"/>
    <x v="4"/>
    <x v="0"/>
  </r>
  <r>
    <x v="3"/>
    <x v="18"/>
    <x v="29"/>
    <n v="0"/>
    <x v="4"/>
    <x v="0"/>
  </r>
  <r>
    <x v="3"/>
    <x v="18"/>
    <x v="30"/>
    <n v="0"/>
    <x v="4"/>
    <x v="0"/>
  </r>
  <r>
    <x v="3"/>
    <x v="18"/>
    <x v="31"/>
    <n v="0"/>
    <x v="4"/>
    <x v="0"/>
  </r>
  <r>
    <x v="3"/>
    <x v="18"/>
    <x v="32"/>
    <n v="0"/>
    <x v="4"/>
    <x v="0"/>
  </r>
  <r>
    <x v="3"/>
    <x v="18"/>
    <x v="33"/>
    <n v="0"/>
    <x v="4"/>
    <x v="0"/>
  </r>
  <r>
    <x v="3"/>
    <x v="18"/>
    <x v="34"/>
    <n v="294539"/>
    <x v="4"/>
    <x v="0"/>
  </r>
  <r>
    <x v="3"/>
    <x v="18"/>
    <x v="35"/>
    <n v="737173"/>
    <x v="4"/>
    <x v="0"/>
  </r>
  <r>
    <x v="3"/>
    <x v="18"/>
    <x v="36"/>
    <n v="0"/>
    <x v="4"/>
    <x v="0"/>
  </r>
  <r>
    <x v="3"/>
    <x v="19"/>
    <x v="0"/>
    <n v="14139186"/>
    <x v="4"/>
    <x v="0"/>
  </r>
  <r>
    <x v="3"/>
    <x v="19"/>
    <x v="1"/>
    <n v="13543571"/>
    <x v="4"/>
    <x v="0"/>
  </r>
  <r>
    <x v="3"/>
    <x v="19"/>
    <x v="2"/>
    <n v="16763834"/>
    <x v="4"/>
    <x v="0"/>
  </r>
  <r>
    <x v="3"/>
    <x v="19"/>
    <x v="3"/>
    <n v="11612820"/>
    <x v="4"/>
    <x v="0"/>
  </r>
  <r>
    <x v="3"/>
    <x v="19"/>
    <x v="4"/>
    <n v="12743468"/>
    <x v="4"/>
    <x v="0"/>
  </r>
  <r>
    <x v="3"/>
    <x v="19"/>
    <x v="5"/>
    <n v="17354390"/>
    <x v="4"/>
    <x v="0"/>
  </r>
  <r>
    <x v="3"/>
    <x v="19"/>
    <x v="6"/>
    <n v="15301245"/>
    <x v="4"/>
    <x v="0"/>
  </r>
  <r>
    <x v="3"/>
    <x v="19"/>
    <x v="7"/>
    <n v="22286606"/>
    <x v="4"/>
    <x v="0"/>
  </r>
  <r>
    <x v="3"/>
    <x v="19"/>
    <x v="8"/>
    <n v="23044585"/>
    <x v="4"/>
    <x v="0"/>
  </r>
  <r>
    <x v="3"/>
    <x v="19"/>
    <x v="9"/>
    <n v="24546488"/>
    <x v="4"/>
    <x v="0"/>
  </r>
  <r>
    <x v="3"/>
    <x v="19"/>
    <x v="10"/>
    <n v="29679739"/>
    <x v="4"/>
    <x v="0"/>
  </r>
  <r>
    <x v="3"/>
    <x v="19"/>
    <x v="11"/>
    <n v="30617772"/>
    <x v="4"/>
    <x v="0"/>
  </r>
  <r>
    <x v="3"/>
    <x v="19"/>
    <x v="12"/>
    <n v="26435068"/>
    <x v="4"/>
    <x v="0"/>
  </r>
  <r>
    <x v="3"/>
    <x v="19"/>
    <x v="13"/>
    <n v="27263997"/>
    <x v="4"/>
    <x v="0"/>
  </r>
  <r>
    <x v="3"/>
    <x v="19"/>
    <x v="14"/>
    <n v="30484265"/>
    <x v="4"/>
    <x v="0"/>
  </r>
  <r>
    <x v="3"/>
    <x v="19"/>
    <x v="15"/>
    <n v="27523886"/>
    <x v="4"/>
    <x v="0"/>
  </r>
  <r>
    <x v="3"/>
    <x v="19"/>
    <x v="16"/>
    <n v="24578817"/>
    <x v="4"/>
    <x v="0"/>
  </r>
  <r>
    <x v="3"/>
    <x v="19"/>
    <x v="17"/>
    <n v="19132482"/>
    <x v="4"/>
    <x v="0"/>
  </r>
  <r>
    <x v="3"/>
    <x v="19"/>
    <x v="18"/>
    <n v="21871120"/>
    <x v="4"/>
    <x v="0"/>
  </r>
  <r>
    <x v="3"/>
    <x v="19"/>
    <x v="19"/>
    <n v="8254879"/>
    <x v="4"/>
    <x v="0"/>
  </r>
  <r>
    <x v="3"/>
    <x v="19"/>
    <x v="20"/>
    <n v="9870790"/>
    <x v="4"/>
    <x v="0"/>
  </r>
  <r>
    <x v="3"/>
    <x v="19"/>
    <x v="21"/>
    <n v="9635969"/>
    <x v="4"/>
    <x v="0"/>
  </r>
  <r>
    <x v="3"/>
    <x v="19"/>
    <x v="22"/>
    <n v="11299103"/>
    <x v="4"/>
    <x v="0"/>
  </r>
  <r>
    <x v="3"/>
    <x v="19"/>
    <x v="23"/>
    <n v="10690465"/>
    <x v="4"/>
    <x v="0"/>
  </r>
  <r>
    <x v="3"/>
    <x v="19"/>
    <x v="24"/>
    <n v="10544156"/>
    <x v="4"/>
    <x v="0"/>
  </r>
  <r>
    <x v="3"/>
    <x v="19"/>
    <x v="25"/>
    <n v="10372873"/>
    <x v="4"/>
    <x v="0"/>
  </r>
  <r>
    <x v="3"/>
    <x v="19"/>
    <x v="26"/>
    <n v="14223017"/>
    <x v="4"/>
    <x v="0"/>
  </r>
  <r>
    <x v="3"/>
    <x v="19"/>
    <x v="27"/>
    <n v="6941491"/>
    <x v="4"/>
    <x v="0"/>
  </r>
  <r>
    <x v="3"/>
    <x v="19"/>
    <x v="28"/>
    <n v="10264795"/>
    <x v="4"/>
    <x v="0"/>
  </r>
  <r>
    <x v="3"/>
    <x v="19"/>
    <x v="29"/>
    <n v="11131738"/>
    <x v="4"/>
    <x v="0"/>
  </r>
  <r>
    <x v="3"/>
    <x v="19"/>
    <x v="30"/>
    <n v="16954083"/>
    <x v="4"/>
    <x v="0"/>
  </r>
  <r>
    <x v="3"/>
    <x v="19"/>
    <x v="31"/>
    <n v="15112369"/>
    <x v="4"/>
    <x v="0"/>
  </r>
  <r>
    <x v="3"/>
    <x v="19"/>
    <x v="32"/>
    <n v="11195021"/>
    <x v="4"/>
    <x v="0"/>
  </r>
  <r>
    <x v="3"/>
    <x v="19"/>
    <x v="33"/>
    <n v="8550956"/>
    <x v="4"/>
    <x v="0"/>
  </r>
  <r>
    <x v="3"/>
    <x v="19"/>
    <x v="34"/>
    <n v="15439742"/>
    <x v="4"/>
    <x v="0"/>
  </r>
  <r>
    <x v="3"/>
    <x v="19"/>
    <x v="35"/>
    <n v="8125473"/>
    <x v="4"/>
    <x v="0"/>
  </r>
  <r>
    <x v="3"/>
    <x v="19"/>
    <x v="36"/>
    <n v="6867498"/>
    <x v="4"/>
    <x v="0"/>
  </r>
  <r>
    <x v="3"/>
    <x v="20"/>
    <x v="0"/>
    <n v="24779263"/>
    <x v="4"/>
    <x v="0"/>
  </r>
  <r>
    <x v="3"/>
    <x v="20"/>
    <x v="1"/>
    <n v="16846719"/>
    <x v="4"/>
    <x v="0"/>
  </r>
  <r>
    <x v="3"/>
    <x v="20"/>
    <x v="2"/>
    <n v="19851146"/>
    <x v="4"/>
    <x v="0"/>
  </r>
  <r>
    <x v="3"/>
    <x v="20"/>
    <x v="3"/>
    <n v="15078450"/>
    <x v="4"/>
    <x v="0"/>
  </r>
  <r>
    <x v="3"/>
    <x v="20"/>
    <x v="4"/>
    <n v="15727391"/>
    <x v="4"/>
    <x v="0"/>
  </r>
  <r>
    <x v="3"/>
    <x v="20"/>
    <x v="5"/>
    <n v="14239785"/>
    <x v="4"/>
    <x v="0"/>
  </r>
  <r>
    <x v="3"/>
    <x v="20"/>
    <x v="6"/>
    <n v="21952322"/>
    <x v="4"/>
    <x v="0"/>
  </r>
  <r>
    <x v="3"/>
    <x v="20"/>
    <x v="7"/>
    <n v="9236517"/>
    <x v="4"/>
    <x v="0"/>
  </r>
  <r>
    <x v="3"/>
    <x v="20"/>
    <x v="8"/>
    <n v="8661266"/>
    <x v="4"/>
    <x v="0"/>
  </r>
  <r>
    <x v="3"/>
    <x v="20"/>
    <x v="9"/>
    <n v="4791519"/>
    <x v="4"/>
    <x v="0"/>
  </r>
  <r>
    <x v="3"/>
    <x v="20"/>
    <x v="10"/>
    <n v="5968474"/>
    <x v="4"/>
    <x v="0"/>
  </r>
  <r>
    <x v="3"/>
    <x v="20"/>
    <x v="11"/>
    <n v="2689426"/>
    <x v="4"/>
    <x v="0"/>
  </r>
  <r>
    <x v="3"/>
    <x v="20"/>
    <x v="12"/>
    <n v="2402287"/>
    <x v="4"/>
    <x v="0"/>
  </r>
  <r>
    <x v="3"/>
    <x v="20"/>
    <x v="13"/>
    <n v="5458262"/>
    <x v="4"/>
    <x v="0"/>
  </r>
  <r>
    <x v="3"/>
    <x v="20"/>
    <x v="14"/>
    <n v="962825"/>
    <x v="4"/>
    <x v="0"/>
  </r>
  <r>
    <x v="3"/>
    <x v="20"/>
    <x v="15"/>
    <n v="323008"/>
    <x v="4"/>
    <x v="0"/>
  </r>
  <r>
    <x v="3"/>
    <x v="20"/>
    <x v="16"/>
    <n v="8231"/>
    <x v="4"/>
    <x v="0"/>
  </r>
  <r>
    <x v="3"/>
    <x v="20"/>
    <x v="17"/>
    <n v="347882"/>
    <x v="4"/>
    <x v="0"/>
  </r>
  <r>
    <x v="3"/>
    <x v="20"/>
    <x v="18"/>
    <n v="-316619"/>
    <x v="4"/>
    <x v="0"/>
  </r>
  <r>
    <x v="3"/>
    <x v="20"/>
    <x v="19"/>
    <n v="0"/>
    <x v="4"/>
    <x v="0"/>
  </r>
  <r>
    <x v="3"/>
    <x v="20"/>
    <x v="20"/>
    <n v="0"/>
    <x v="4"/>
    <x v="0"/>
  </r>
  <r>
    <x v="3"/>
    <x v="20"/>
    <x v="21"/>
    <n v="0"/>
    <x v="4"/>
    <x v="0"/>
  </r>
  <r>
    <x v="3"/>
    <x v="20"/>
    <x v="22"/>
    <n v="0"/>
    <x v="4"/>
    <x v="0"/>
  </r>
  <r>
    <x v="3"/>
    <x v="20"/>
    <x v="23"/>
    <n v="0"/>
    <x v="4"/>
    <x v="0"/>
  </r>
  <r>
    <x v="3"/>
    <x v="20"/>
    <x v="24"/>
    <n v="0"/>
    <x v="4"/>
    <x v="0"/>
  </r>
  <r>
    <x v="3"/>
    <x v="20"/>
    <x v="25"/>
    <n v="0"/>
    <x v="4"/>
    <x v="0"/>
  </r>
  <r>
    <x v="3"/>
    <x v="20"/>
    <x v="26"/>
    <n v="0"/>
    <x v="4"/>
    <x v="0"/>
  </r>
  <r>
    <x v="3"/>
    <x v="20"/>
    <x v="27"/>
    <n v="0"/>
    <x v="4"/>
    <x v="0"/>
  </r>
  <r>
    <x v="3"/>
    <x v="20"/>
    <x v="28"/>
    <n v="0"/>
    <x v="4"/>
    <x v="0"/>
  </r>
  <r>
    <x v="3"/>
    <x v="20"/>
    <x v="29"/>
    <n v="0"/>
    <x v="4"/>
    <x v="0"/>
  </r>
  <r>
    <x v="3"/>
    <x v="20"/>
    <x v="30"/>
    <n v="0"/>
    <x v="4"/>
    <x v="0"/>
  </r>
  <r>
    <x v="3"/>
    <x v="20"/>
    <x v="31"/>
    <n v="0"/>
    <x v="4"/>
    <x v="0"/>
  </r>
  <r>
    <x v="3"/>
    <x v="20"/>
    <x v="32"/>
    <n v="114453"/>
    <x v="4"/>
    <x v="0"/>
  </r>
  <r>
    <x v="3"/>
    <x v="20"/>
    <x v="33"/>
    <n v="77348"/>
    <x v="4"/>
    <x v="0"/>
  </r>
  <r>
    <x v="3"/>
    <x v="20"/>
    <x v="34"/>
    <n v="-13080"/>
    <x v="4"/>
    <x v="0"/>
  </r>
  <r>
    <x v="3"/>
    <x v="20"/>
    <x v="35"/>
    <n v="0"/>
    <x v="4"/>
    <x v="0"/>
  </r>
  <r>
    <x v="3"/>
    <x v="20"/>
    <x v="36"/>
    <n v="143883"/>
    <x v="4"/>
    <x v="0"/>
  </r>
  <r>
    <x v="3"/>
    <x v="21"/>
    <x v="0"/>
    <n v="47943"/>
    <x v="0"/>
    <x v="0"/>
  </r>
  <r>
    <x v="3"/>
    <x v="21"/>
    <x v="1"/>
    <n v="83528"/>
    <x v="0"/>
    <x v="0"/>
  </r>
  <r>
    <x v="3"/>
    <x v="21"/>
    <x v="2"/>
    <n v="253634"/>
    <x v="0"/>
    <x v="0"/>
  </r>
  <r>
    <x v="3"/>
    <x v="21"/>
    <x v="3"/>
    <n v="212523"/>
    <x v="0"/>
    <x v="0"/>
  </r>
  <r>
    <x v="3"/>
    <x v="21"/>
    <x v="4"/>
    <n v="234489"/>
    <x v="0"/>
    <x v="0"/>
  </r>
  <r>
    <x v="3"/>
    <x v="21"/>
    <x v="5"/>
    <n v="224760"/>
    <x v="0"/>
    <x v="0"/>
  </r>
  <r>
    <x v="3"/>
    <x v="21"/>
    <x v="6"/>
    <n v="249108"/>
    <x v="0"/>
    <x v="0"/>
  </r>
  <r>
    <x v="3"/>
    <x v="21"/>
    <x v="7"/>
    <n v="205208"/>
    <x v="0"/>
    <x v="0"/>
  </r>
  <r>
    <x v="3"/>
    <x v="21"/>
    <x v="8"/>
    <n v="384239"/>
    <x v="0"/>
    <x v="0"/>
  </r>
  <r>
    <x v="3"/>
    <x v="21"/>
    <x v="9"/>
    <n v="347096"/>
    <x v="0"/>
    <x v="0"/>
  </r>
  <r>
    <x v="3"/>
    <x v="21"/>
    <x v="10"/>
    <n v="321758"/>
    <x v="0"/>
    <x v="0"/>
  </r>
  <r>
    <x v="3"/>
    <x v="21"/>
    <x v="11"/>
    <n v="242107"/>
    <x v="0"/>
    <x v="0"/>
  </r>
  <r>
    <x v="3"/>
    <x v="21"/>
    <x v="12"/>
    <n v="263257"/>
    <x v="0"/>
    <x v="0"/>
  </r>
  <r>
    <x v="3"/>
    <x v="21"/>
    <x v="13"/>
    <n v="282893"/>
    <x v="0"/>
    <x v="0"/>
  </r>
  <r>
    <x v="3"/>
    <x v="21"/>
    <x v="14"/>
    <n v="307647"/>
    <x v="0"/>
    <x v="0"/>
  </r>
  <r>
    <x v="3"/>
    <x v="21"/>
    <x v="15"/>
    <n v="208352"/>
    <x v="0"/>
    <x v="0"/>
  </r>
  <r>
    <x v="3"/>
    <x v="21"/>
    <x v="16"/>
    <n v="178449"/>
    <x v="0"/>
    <x v="0"/>
  </r>
  <r>
    <x v="3"/>
    <x v="21"/>
    <x v="17"/>
    <n v="91495"/>
    <x v="0"/>
    <x v="0"/>
  </r>
  <r>
    <x v="3"/>
    <x v="21"/>
    <x v="18"/>
    <n v="47367"/>
    <x v="0"/>
    <x v="0"/>
  </r>
  <r>
    <x v="3"/>
    <x v="21"/>
    <x v="19"/>
    <n v="53690"/>
    <x v="0"/>
    <x v="0"/>
  </r>
  <r>
    <x v="3"/>
    <x v="21"/>
    <x v="20"/>
    <n v="143044"/>
    <x v="0"/>
    <x v="0"/>
  </r>
  <r>
    <x v="3"/>
    <x v="21"/>
    <x v="21"/>
    <n v="136044"/>
    <x v="0"/>
    <x v="0"/>
  </r>
  <r>
    <x v="3"/>
    <x v="21"/>
    <x v="22"/>
    <n v="38772"/>
    <x v="0"/>
    <x v="0"/>
  </r>
  <r>
    <x v="3"/>
    <x v="21"/>
    <x v="23"/>
    <n v="9307"/>
    <x v="0"/>
    <x v="0"/>
  </r>
  <r>
    <x v="3"/>
    <x v="21"/>
    <x v="24"/>
    <n v="2157"/>
    <x v="0"/>
    <x v="0"/>
  </r>
  <r>
    <x v="3"/>
    <x v="21"/>
    <x v="25"/>
    <n v="77470"/>
    <x v="0"/>
    <x v="0"/>
  </r>
  <r>
    <x v="3"/>
    <x v="21"/>
    <x v="26"/>
    <n v="74447"/>
    <x v="0"/>
    <x v="0"/>
  </r>
  <r>
    <x v="3"/>
    <x v="21"/>
    <x v="27"/>
    <n v="84442"/>
    <x v="0"/>
    <x v="0"/>
  </r>
  <r>
    <x v="3"/>
    <x v="21"/>
    <x v="28"/>
    <n v="2965"/>
    <x v="0"/>
    <x v="0"/>
  </r>
  <r>
    <x v="3"/>
    <x v="21"/>
    <x v="29"/>
    <n v="4256"/>
    <x v="0"/>
    <x v="0"/>
  </r>
  <r>
    <x v="3"/>
    <x v="21"/>
    <x v="30"/>
    <n v="4646"/>
    <x v="0"/>
    <x v="0"/>
  </r>
  <r>
    <x v="3"/>
    <x v="21"/>
    <x v="31"/>
    <n v="2613"/>
    <x v="0"/>
    <x v="0"/>
  </r>
  <r>
    <x v="3"/>
    <x v="21"/>
    <x v="32"/>
    <n v="2935"/>
    <x v="0"/>
    <x v="0"/>
  </r>
  <r>
    <x v="3"/>
    <x v="21"/>
    <x v="33"/>
    <n v="2317"/>
    <x v="0"/>
    <x v="0"/>
  </r>
  <r>
    <x v="3"/>
    <x v="21"/>
    <x v="34"/>
    <n v="3113"/>
    <x v="0"/>
    <x v="0"/>
  </r>
  <r>
    <x v="3"/>
    <x v="21"/>
    <x v="35"/>
    <n v="3129"/>
    <x v="0"/>
    <x v="0"/>
  </r>
  <r>
    <x v="3"/>
    <x v="21"/>
    <x v="36"/>
    <n v="3413"/>
    <x v="0"/>
    <x v="0"/>
  </r>
  <r>
    <x v="3"/>
    <x v="22"/>
    <x v="0"/>
    <n v="0"/>
    <x v="0"/>
    <x v="0"/>
  </r>
  <r>
    <x v="3"/>
    <x v="22"/>
    <x v="1"/>
    <n v="0"/>
    <x v="0"/>
    <x v="0"/>
  </r>
  <r>
    <x v="3"/>
    <x v="22"/>
    <x v="2"/>
    <n v="0"/>
    <x v="0"/>
    <x v="0"/>
  </r>
  <r>
    <x v="3"/>
    <x v="22"/>
    <x v="3"/>
    <n v="0"/>
    <x v="0"/>
    <x v="0"/>
  </r>
  <r>
    <x v="3"/>
    <x v="22"/>
    <x v="4"/>
    <n v="0"/>
    <x v="0"/>
    <x v="0"/>
  </r>
  <r>
    <x v="3"/>
    <x v="22"/>
    <x v="5"/>
    <n v="0"/>
    <x v="0"/>
    <x v="0"/>
  </r>
  <r>
    <x v="3"/>
    <x v="22"/>
    <x v="6"/>
    <n v="0"/>
    <x v="0"/>
    <x v="0"/>
  </r>
  <r>
    <x v="3"/>
    <x v="22"/>
    <x v="7"/>
    <n v="0"/>
    <x v="0"/>
    <x v="0"/>
  </r>
  <r>
    <x v="3"/>
    <x v="22"/>
    <x v="8"/>
    <n v="0"/>
    <x v="0"/>
    <x v="0"/>
  </r>
  <r>
    <x v="3"/>
    <x v="22"/>
    <x v="9"/>
    <n v="0"/>
    <x v="0"/>
    <x v="0"/>
  </r>
  <r>
    <x v="3"/>
    <x v="22"/>
    <x v="10"/>
    <n v="0"/>
    <x v="0"/>
    <x v="0"/>
  </r>
  <r>
    <x v="3"/>
    <x v="22"/>
    <x v="11"/>
    <n v="76765"/>
    <x v="0"/>
    <x v="0"/>
  </r>
  <r>
    <x v="3"/>
    <x v="22"/>
    <x v="12"/>
    <n v="27631"/>
    <x v="0"/>
    <x v="0"/>
  </r>
  <r>
    <x v="3"/>
    <x v="22"/>
    <x v="13"/>
    <n v="0"/>
    <x v="0"/>
    <x v="0"/>
  </r>
  <r>
    <x v="3"/>
    <x v="22"/>
    <x v="14"/>
    <n v="0"/>
    <x v="0"/>
    <x v="0"/>
  </r>
  <r>
    <x v="3"/>
    <x v="22"/>
    <x v="15"/>
    <n v="0"/>
    <x v="0"/>
    <x v="0"/>
  </r>
  <r>
    <x v="3"/>
    <x v="22"/>
    <x v="16"/>
    <n v="0"/>
    <x v="0"/>
    <x v="0"/>
  </r>
  <r>
    <x v="3"/>
    <x v="22"/>
    <x v="17"/>
    <n v="0"/>
    <x v="0"/>
    <x v="0"/>
  </r>
  <r>
    <x v="3"/>
    <x v="22"/>
    <x v="18"/>
    <n v="0"/>
    <x v="0"/>
    <x v="0"/>
  </r>
  <r>
    <x v="3"/>
    <x v="22"/>
    <x v="19"/>
    <n v="0"/>
    <x v="0"/>
    <x v="0"/>
  </r>
  <r>
    <x v="3"/>
    <x v="22"/>
    <x v="20"/>
    <n v="0"/>
    <x v="0"/>
    <x v="0"/>
  </r>
  <r>
    <x v="3"/>
    <x v="22"/>
    <x v="21"/>
    <n v="0"/>
    <x v="0"/>
    <x v="0"/>
  </r>
  <r>
    <x v="3"/>
    <x v="22"/>
    <x v="22"/>
    <n v="0"/>
    <x v="0"/>
    <x v="0"/>
  </r>
  <r>
    <x v="3"/>
    <x v="22"/>
    <x v="23"/>
    <n v="0"/>
    <x v="0"/>
    <x v="0"/>
  </r>
  <r>
    <x v="3"/>
    <x v="22"/>
    <x v="24"/>
    <n v="0"/>
    <x v="0"/>
    <x v="0"/>
  </r>
  <r>
    <x v="3"/>
    <x v="22"/>
    <x v="25"/>
    <n v="0"/>
    <x v="0"/>
    <x v="0"/>
  </r>
  <r>
    <x v="3"/>
    <x v="22"/>
    <x v="26"/>
    <n v="0"/>
    <x v="0"/>
    <x v="0"/>
  </r>
  <r>
    <x v="3"/>
    <x v="22"/>
    <x v="27"/>
    <n v="0"/>
    <x v="0"/>
    <x v="0"/>
  </r>
  <r>
    <x v="3"/>
    <x v="22"/>
    <x v="28"/>
    <n v="4959"/>
    <x v="0"/>
    <x v="0"/>
  </r>
  <r>
    <x v="3"/>
    <x v="22"/>
    <x v="29"/>
    <n v="5731"/>
    <x v="0"/>
    <x v="0"/>
  </r>
  <r>
    <x v="3"/>
    <x v="22"/>
    <x v="30"/>
    <n v="5823"/>
    <x v="0"/>
    <x v="0"/>
  </r>
  <r>
    <x v="3"/>
    <x v="22"/>
    <x v="31"/>
    <n v="5582"/>
    <x v="0"/>
    <x v="0"/>
  </r>
  <r>
    <x v="3"/>
    <x v="22"/>
    <x v="32"/>
    <n v="0"/>
    <x v="0"/>
    <x v="0"/>
  </r>
  <r>
    <x v="3"/>
    <x v="22"/>
    <x v="33"/>
    <n v="5639"/>
    <x v="0"/>
    <x v="0"/>
  </r>
  <r>
    <x v="3"/>
    <x v="22"/>
    <x v="34"/>
    <n v="0"/>
    <x v="0"/>
    <x v="0"/>
  </r>
  <r>
    <x v="3"/>
    <x v="22"/>
    <x v="35"/>
    <n v="0"/>
    <x v="0"/>
    <x v="0"/>
  </r>
  <r>
    <x v="3"/>
    <x v="22"/>
    <x v="36"/>
    <n v="0"/>
    <x v="0"/>
    <x v="0"/>
  </r>
  <r>
    <x v="3"/>
    <x v="23"/>
    <x v="0"/>
    <n v="375239852"/>
    <x v="8"/>
    <x v="4"/>
  </r>
  <r>
    <x v="3"/>
    <x v="23"/>
    <x v="1"/>
    <n v="326790235"/>
    <x v="8"/>
    <x v="4"/>
  </r>
  <r>
    <x v="3"/>
    <x v="23"/>
    <x v="2"/>
    <n v="377613067"/>
    <x v="8"/>
    <x v="4"/>
  </r>
  <r>
    <x v="3"/>
    <x v="23"/>
    <x v="3"/>
    <n v="320334675"/>
    <x v="8"/>
    <x v="4"/>
  </r>
  <r>
    <x v="3"/>
    <x v="23"/>
    <x v="4"/>
    <n v="263889421"/>
    <x v="8"/>
    <x v="4"/>
  </r>
  <r>
    <x v="3"/>
    <x v="23"/>
    <x v="5"/>
    <n v="350623417"/>
    <x v="8"/>
    <x v="4"/>
  </r>
  <r>
    <x v="3"/>
    <x v="23"/>
    <x v="6"/>
    <n v="398951677"/>
    <x v="8"/>
    <x v="4"/>
  </r>
  <r>
    <x v="3"/>
    <x v="23"/>
    <x v="7"/>
    <n v="357091065"/>
    <x v="8"/>
    <x v="4"/>
  </r>
  <r>
    <x v="3"/>
    <x v="23"/>
    <x v="8"/>
    <n v="321854625"/>
    <x v="8"/>
    <x v="4"/>
  </r>
  <r>
    <x v="3"/>
    <x v="23"/>
    <x v="9"/>
    <n v="396182867"/>
    <x v="8"/>
    <x v="4"/>
  </r>
  <r>
    <x v="3"/>
    <x v="23"/>
    <x v="10"/>
    <n v="389458429"/>
    <x v="8"/>
    <x v="4"/>
  </r>
  <r>
    <x v="3"/>
    <x v="23"/>
    <x v="11"/>
    <n v="366279718"/>
    <x v="8"/>
    <x v="4"/>
  </r>
  <r>
    <x v="3"/>
    <x v="23"/>
    <x v="12"/>
    <n v="354697520"/>
    <x v="8"/>
    <x v="4"/>
  </r>
  <r>
    <x v="3"/>
    <x v="23"/>
    <x v="13"/>
    <n v="375142035"/>
    <x v="8"/>
    <x v="4"/>
  </r>
  <r>
    <x v="3"/>
    <x v="23"/>
    <x v="14"/>
    <n v="380436068"/>
    <x v="8"/>
    <x v="4"/>
  </r>
  <r>
    <x v="3"/>
    <x v="23"/>
    <x v="15"/>
    <n v="386779897"/>
    <x v="8"/>
    <x v="4"/>
  </r>
  <r>
    <x v="3"/>
    <x v="23"/>
    <x v="16"/>
    <n v="338071337"/>
    <x v="8"/>
    <x v="4"/>
  </r>
  <r>
    <x v="3"/>
    <x v="23"/>
    <x v="17"/>
    <n v="262671827"/>
    <x v="8"/>
    <x v="4"/>
  </r>
  <r>
    <x v="3"/>
    <x v="23"/>
    <x v="18"/>
    <n v="393254333"/>
    <x v="8"/>
    <x v="4"/>
  </r>
  <r>
    <x v="3"/>
    <x v="23"/>
    <x v="19"/>
    <n v="319331478"/>
    <x v="8"/>
    <x v="4"/>
  </r>
  <r>
    <x v="3"/>
    <x v="23"/>
    <x v="20"/>
    <n v="338003033"/>
    <x v="8"/>
    <x v="4"/>
  </r>
  <r>
    <x v="3"/>
    <x v="23"/>
    <x v="21"/>
    <n v="335115102"/>
    <x v="8"/>
    <x v="4"/>
  </r>
  <r>
    <x v="3"/>
    <x v="23"/>
    <x v="22"/>
    <n v="395604291"/>
    <x v="8"/>
    <x v="4"/>
  </r>
  <r>
    <x v="3"/>
    <x v="23"/>
    <x v="23"/>
    <n v="334429692"/>
    <x v="8"/>
    <x v="4"/>
  </r>
  <r>
    <x v="3"/>
    <x v="23"/>
    <x v="24"/>
    <n v="328070608"/>
    <x v="8"/>
    <x v="4"/>
  </r>
  <r>
    <x v="3"/>
    <x v="23"/>
    <x v="25"/>
    <n v="342958423"/>
    <x v="8"/>
    <x v="4"/>
  </r>
  <r>
    <x v="3"/>
    <x v="23"/>
    <x v="26"/>
    <n v="373023310"/>
    <x v="8"/>
    <x v="4"/>
  </r>
  <r>
    <x v="3"/>
    <x v="23"/>
    <x v="27"/>
    <n v="377842013"/>
    <x v="8"/>
    <x v="4"/>
  </r>
  <r>
    <x v="3"/>
    <x v="23"/>
    <x v="28"/>
    <n v="325762323"/>
    <x v="8"/>
    <x v="4"/>
  </r>
  <r>
    <x v="3"/>
    <x v="23"/>
    <x v="29"/>
    <n v="334842457"/>
    <x v="8"/>
    <x v="4"/>
  </r>
  <r>
    <x v="3"/>
    <x v="23"/>
    <x v="30"/>
    <n v="374350169"/>
    <x v="8"/>
    <x v="4"/>
  </r>
  <r>
    <x v="3"/>
    <x v="23"/>
    <x v="31"/>
    <n v="340914498"/>
    <x v="8"/>
    <x v="4"/>
  </r>
  <r>
    <x v="3"/>
    <x v="23"/>
    <x v="32"/>
    <n v="327927653"/>
    <x v="8"/>
    <x v="4"/>
  </r>
  <r>
    <x v="3"/>
    <x v="23"/>
    <x v="33"/>
    <n v="373051053"/>
    <x v="8"/>
    <x v="4"/>
  </r>
  <r>
    <x v="3"/>
    <x v="23"/>
    <x v="34"/>
    <n v="342429790"/>
    <x v="8"/>
    <x v="4"/>
  </r>
  <r>
    <x v="3"/>
    <x v="23"/>
    <x v="35"/>
    <n v="347842159"/>
    <x v="8"/>
    <x v="4"/>
  </r>
  <r>
    <x v="3"/>
    <x v="23"/>
    <x v="36"/>
    <n v="324837152"/>
    <x v="8"/>
    <x v="4"/>
  </r>
  <r>
    <x v="3"/>
    <x v="24"/>
    <x v="0"/>
    <n v="6826453"/>
    <x v="8"/>
    <x v="4"/>
  </r>
  <r>
    <x v="3"/>
    <x v="24"/>
    <x v="1"/>
    <n v="1428586"/>
    <x v="8"/>
    <x v="4"/>
  </r>
  <r>
    <x v="3"/>
    <x v="24"/>
    <x v="2"/>
    <n v="1836989"/>
    <x v="8"/>
    <x v="4"/>
  </r>
  <r>
    <x v="3"/>
    <x v="24"/>
    <x v="3"/>
    <n v="17687671"/>
    <x v="8"/>
    <x v="4"/>
  </r>
  <r>
    <x v="3"/>
    <x v="24"/>
    <x v="4"/>
    <n v="15472789"/>
    <x v="8"/>
    <x v="4"/>
  </r>
  <r>
    <x v="3"/>
    <x v="24"/>
    <x v="5"/>
    <n v="19442225"/>
    <x v="8"/>
    <x v="4"/>
  </r>
  <r>
    <x v="3"/>
    <x v="24"/>
    <x v="6"/>
    <n v="26862864"/>
    <x v="8"/>
    <x v="4"/>
  </r>
  <r>
    <x v="3"/>
    <x v="24"/>
    <x v="7"/>
    <n v="20220327"/>
    <x v="8"/>
    <x v="4"/>
  </r>
  <r>
    <x v="3"/>
    <x v="24"/>
    <x v="8"/>
    <n v="18561719"/>
    <x v="8"/>
    <x v="4"/>
  </r>
  <r>
    <x v="3"/>
    <x v="24"/>
    <x v="9"/>
    <n v="20982579"/>
    <x v="8"/>
    <x v="4"/>
  </r>
  <r>
    <x v="3"/>
    <x v="24"/>
    <x v="10"/>
    <n v="19554903"/>
    <x v="8"/>
    <x v="4"/>
  </r>
  <r>
    <x v="3"/>
    <x v="24"/>
    <x v="11"/>
    <n v="13918141"/>
    <x v="8"/>
    <x v="4"/>
  </r>
  <r>
    <x v="3"/>
    <x v="24"/>
    <x v="12"/>
    <n v="19781062"/>
    <x v="8"/>
    <x v="4"/>
  </r>
  <r>
    <x v="3"/>
    <x v="24"/>
    <x v="13"/>
    <n v="20857756"/>
    <x v="8"/>
    <x v="4"/>
  </r>
  <r>
    <x v="3"/>
    <x v="24"/>
    <x v="14"/>
    <n v="18078829"/>
    <x v="8"/>
    <x v="4"/>
  </r>
  <r>
    <x v="3"/>
    <x v="24"/>
    <x v="15"/>
    <n v="17233972"/>
    <x v="8"/>
    <x v="4"/>
  </r>
  <r>
    <x v="3"/>
    <x v="24"/>
    <x v="16"/>
    <n v="-12695205"/>
    <x v="8"/>
    <x v="4"/>
  </r>
  <r>
    <x v="3"/>
    <x v="24"/>
    <x v="17"/>
    <n v="-11198298"/>
    <x v="8"/>
    <x v="4"/>
  </r>
  <r>
    <x v="3"/>
    <x v="24"/>
    <x v="18"/>
    <n v="-14835761"/>
    <x v="8"/>
    <x v="4"/>
  </r>
  <r>
    <x v="3"/>
    <x v="24"/>
    <x v="19"/>
    <n v="-14130390"/>
    <x v="8"/>
    <x v="4"/>
  </r>
  <r>
    <x v="3"/>
    <x v="24"/>
    <x v="20"/>
    <n v="-11274833"/>
    <x v="8"/>
    <x v="4"/>
  </r>
  <r>
    <x v="3"/>
    <x v="24"/>
    <x v="21"/>
    <n v="-15054172"/>
    <x v="8"/>
    <x v="4"/>
  </r>
  <r>
    <x v="3"/>
    <x v="24"/>
    <x v="22"/>
    <n v="-17746252"/>
    <x v="8"/>
    <x v="4"/>
  </r>
  <r>
    <x v="3"/>
    <x v="24"/>
    <x v="23"/>
    <n v="-15588380"/>
    <x v="8"/>
    <x v="4"/>
  </r>
  <r>
    <x v="3"/>
    <x v="24"/>
    <x v="24"/>
    <n v="-13854738"/>
    <x v="8"/>
    <x v="4"/>
  </r>
  <r>
    <x v="3"/>
    <x v="24"/>
    <x v="25"/>
    <n v="-15747646"/>
    <x v="8"/>
    <x v="4"/>
  </r>
  <r>
    <x v="3"/>
    <x v="24"/>
    <x v="26"/>
    <n v="-20404579"/>
    <x v="8"/>
    <x v="4"/>
  </r>
  <r>
    <x v="3"/>
    <x v="24"/>
    <x v="27"/>
    <n v="-19614607"/>
    <x v="8"/>
    <x v="4"/>
  </r>
  <r>
    <x v="3"/>
    <x v="24"/>
    <x v="28"/>
    <n v="-21909644"/>
    <x v="8"/>
    <x v="4"/>
  </r>
  <r>
    <x v="3"/>
    <x v="24"/>
    <x v="29"/>
    <n v="-18610177"/>
    <x v="8"/>
    <x v="4"/>
  </r>
  <r>
    <x v="3"/>
    <x v="24"/>
    <x v="30"/>
    <n v="-4772756"/>
    <x v="8"/>
    <x v="4"/>
  </r>
  <r>
    <x v="3"/>
    <x v="24"/>
    <x v="31"/>
    <n v="-10792047"/>
    <x v="8"/>
    <x v="4"/>
  </r>
  <r>
    <x v="3"/>
    <x v="24"/>
    <x v="32"/>
    <n v="-7494379"/>
    <x v="8"/>
    <x v="4"/>
  </r>
  <r>
    <x v="3"/>
    <x v="24"/>
    <x v="33"/>
    <n v="-10558299"/>
    <x v="8"/>
    <x v="4"/>
  </r>
  <r>
    <x v="3"/>
    <x v="24"/>
    <x v="34"/>
    <n v="-12683083"/>
    <x v="8"/>
    <x v="4"/>
  </r>
  <r>
    <x v="3"/>
    <x v="24"/>
    <x v="35"/>
    <n v="-13042045"/>
    <x v="8"/>
    <x v="4"/>
  </r>
  <r>
    <x v="3"/>
    <x v="24"/>
    <x v="36"/>
    <n v="-3926018"/>
    <x v="8"/>
    <x v="4"/>
  </r>
  <r>
    <x v="3"/>
    <x v="25"/>
    <x v="0"/>
    <n v="0"/>
    <x v="9"/>
    <x v="0"/>
  </r>
  <r>
    <x v="3"/>
    <x v="25"/>
    <x v="1"/>
    <n v="0"/>
    <x v="9"/>
    <x v="0"/>
  </r>
  <r>
    <x v="3"/>
    <x v="25"/>
    <x v="2"/>
    <n v="0"/>
    <x v="9"/>
    <x v="0"/>
  </r>
  <r>
    <x v="3"/>
    <x v="25"/>
    <x v="3"/>
    <n v="0"/>
    <x v="9"/>
    <x v="0"/>
  </r>
  <r>
    <x v="3"/>
    <x v="25"/>
    <x v="4"/>
    <n v="0"/>
    <x v="9"/>
    <x v="0"/>
  </r>
  <r>
    <x v="3"/>
    <x v="25"/>
    <x v="5"/>
    <n v="0"/>
    <x v="9"/>
    <x v="0"/>
  </r>
  <r>
    <x v="3"/>
    <x v="25"/>
    <x v="6"/>
    <n v="0"/>
    <x v="9"/>
    <x v="0"/>
  </r>
  <r>
    <x v="3"/>
    <x v="25"/>
    <x v="7"/>
    <n v="0"/>
    <x v="9"/>
    <x v="0"/>
  </r>
  <r>
    <x v="3"/>
    <x v="25"/>
    <x v="8"/>
    <n v="0"/>
    <x v="9"/>
    <x v="0"/>
  </r>
  <r>
    <x v="3"/>
    <x v="25"/>
    <x v="9"/>
    <n v="0"/>
    <x v="9"/>
    <x v="0"/>
  </r>
  <r>
    <x v="3"/>
    <x v="25"/>
    <x v="10"/>
    <n v="0"/>
    <x v="9"/>
    <x v="0"/>
  </r>
  <r>
    <x v="3"/>
    <x v="25"/>
    <x v="11"/>
    <n v="0"/>
    <x v="9"/>
    <x v="0"/>
  </r>
  <r>
    <x v="3"/>
    <x v="25"/>
    <x v="12"/>
    <n v="0"/>
    <x v="9"/>
    <x v="0"/>
  </r>
  <r>
    <x v="3"/>
    <x v="25"/>
    <x v="13"/>
    <n v="0"/>
    <x v="9"/>
    <x v="0"/>
  </r>
  <r>
    <x v="3"/>
    <x v="25"/>
    <x v="14"/>
    <n v="0"/>
    <x v="9"/>
    <x v="0"/>
  </r>
  <r>
    <x v="3"/>
    <x v="25"/>
    <x v="15"/>
    <n v="0"/>
    <x v="9"/>
    <x v="0"/>
  </r>
  <r>
    <x v="3"/>
    <x v="25"/>
    <x v="16"/>
    <n v="0"/>
    <x v="9"/>
    <x v="0"/>
  </r>
  <r>
    <x v="3"/>
    <x v="25"/>
    <x v="17"/>
    <n v="0"/>
    <x v="9"/>
    <x v="0"/>
  </r>
  <r>
    <x v="3"/>
    <x v="25"/>
    <x v="18"/>
    <n v="0"/>
    <x v="9"/>
    <x v="0"/>
  </r>
  <r>
    <x v="3"/>
    <x v="25"/>
    <x v="19"/>
    <n v="0"/>
    <x v="9"/>
    <x v="0"/>
  </r>
  <r>
    <x v="3"/>
    <x v="25"/>
    <x v="20"/>
    <n v="21110"/>
    <x v="9"/>
    <x v="0"/>
  </r>
  <r>
    <x v="3"/>
    <x v="25"/>
    <x v="21"/>
    <n v="25066"/>
    <x v="9"/>
    <x v="0"/>
  </r>
  <r>
    <x v="3"/>
    <x v="25"/>
    <x v="22"/>
    <n v="17257"/>
    <x v="9"/>
    <x v="0"/>
  </r>
  <r>
    <x v="3"/>
    <x v="25"/>
    <x v="23"/>
    <n v="16399"/>
    <x v="9"/>
    <x v="0"/>
  </r>
  <r>
    <x v="3"/>
    <x v="25"/>
    <x v="24"/>
    <n v="11975"/>
    <x v="9"/>
    <x v="0"/>
  </r>
  <r>
    <x v="3"/>
    <x v="25"/>
    <x v="25"/>
    <n v="12756"/>
    <x v="9"/>
    <x v="0"/>
  </r>
  <r>
    <x v="3"/>
    <x v="25"/>
    <x v="26"/>
    <n v="12472"/>
    <x v="9"/>
    <x v="0"/>
  </r>
  <r>
    <x v="3"/>
    <x v="25"/>
    <x v="27"/>
    <n v="13764"/>
    <x v="9"/>
    <x v="0"/>
  </r>
  <r>
    <x v="3"/>
    <x v="25"/>
    <x v="28"/>
    <n v="10624"/>
    <x v="9"/>
    <x v="0"/>
  </r>
  <r>
    <x v="3"/>
    <x v="25"/>
    <x v="29"/>
    <n v="13369"/>
    <x v="9"/>
    <x v="0"/>
  </r>
  <r>
    <x v="3"/>
    <x v="25"/>
    <x v="30"/>
    <n v="17823"/>
    <x v="9"/>
    <x v="0"/>
  </r>
  <r>
    <x v="3"/>
    <x v="25"/>
    <x v="31"/>
    <n v="18898"/>
    <x v="9"/>
    <x v="0"/>
  </r>
  <r>
    <x v="3"/>
    <x v="25"/>
    <x v="32"/>
    <n v="14203"/>
    <x v="9"/>
    <x v="0"/>
  </r>
  <r>
    <x v="3"/>
    <x v="25"/>
    <x v="33"/>
    <n v="18494"/>
    <x v="9"/>
    <x v="0"/>
  </r>
  <r>
    <x v="3"/>
    <x v="25"/>
    <x v="34"/>
    <n v="20615"/>
    <x v="9"/>
    <x v="0"/>
  </r>
  <r>
    <x v="3"/>
    <x v="25"/>
    <x v="35"/>
    <n v="21185"/>
    <x v="9"/>
    <x v="0"/>
  </r>
  <r>
    <x v="3"/>
    <x v="25"/>
    <x v="36"/>
    <n v="19638"/>
    <x v="9"/>
    <x v="0"/>
  </r>
  <r>
    <x v="3"/>
    <x v="5"/>
    <x v="0"/>
    <n v="0"/>
    <x v="5"/>
    <x v="0"/>
  </r>
  <r>
    <x v="3"/>
    <x v="5"/>
    <x v="1"/>
    <n v="0"/>
    <x v="5"/>
    <x v="0"/>
  </r>
  <r>
    <x v="3"/>
    <x v="5"/>
    <x v="2"/>
    <n v="0"/>
    <x v="5"/>
    <x v="0"/>
  </r>
  <r>
    <x v="3"/>
    <x v="5"/>
    <x v="3"/>
    <n v="0"/>
    <x v="5"/>
    <x v="0"/>
  </r>
  <r>
    <x v="3"/>
    <x v="5"/>
    <x v="4"/>
    <n v="0"/>
    <x v="5"/>
    <x v="0"/>
  </r>
  <r>
    <x v="3"/>
    <x v="5"/>
    <x v="5"/>
    <n v="0"/>
    <x v="5"/>
    <x v="0"/>
  </r>
  <r>
    <x v="3"/>
    <x v="5"/>
    <x v="6"/>
    <n v="0"/>
    <x v="5"/>
    <x v="0"/>
  </r>
  <r>
    <x v="3"/>
    <x v="5"/>
    <x v="7"/>
    <n v="0"/>
    <x v="5"/>
    <x v="0"/>
  </r>
  <r>
    <x v="3"/>
    <x v="5"/>
    <x v="8"/>
    <n v="0"/>
    <x v="5"/>
    <x v="0"/>
  </r>
  <r>
    <x v="3"/>
    <x v="5"/>
    <x v="9"/>
    <n v="0"/>
    <x v="5"/>
    <x v="0"/>
  </r>
  <r>
    <x v="3"/>
    <x v="5"/>
    <x v="10"/>
    <n v="0"/>
    <x v="5"/>
    <x v="0"/>
  </r>
  <r>
    <x v="3"/>
    <x v="5"/>
    <x v="11"/>
    <n v="29854"/>
    <x v="5"/>
    <x v="0"/>
  </r>
  <r>
    <x v="3"/>
    <x v="5"/>
    <x v="12"/>
    <n v="156789"/>
    <x v="5"/>
    <x v="0"/>
  </r>
  <r>
    <x v="3"/>
    <x v="5"/>
    <x v="13"/>
    <n v="234947"/>
    <x v="5"/>
    <x v="0"/>
  </r>
  <r>
    <x v="3"/>
    <x v="5"/>
    <x v="14"/>
    <n v="229264"/>
    <x v="5"/>
    <x v="0"/>
  </r>
  <r>
    <x v="3"/>
    <x v="5"/>
    <x v="15"/>
    <n v="223209"/>
    <x v="5"/>
    <x v="0"/>
  </r>
  <r>
    <x v="3"/>
    <x v="5"/>
    <x v="16"/>
    <n v="217376"/>
    <x v="5"/>
    <x v="0"/>
  </r>
  <r>
    <x v="3"/>
    <x v="5"/>
    <x v="17"/>
    <n v="168376"/>
    <x v="5"/>
    <x v="0"/>
  </r>
  <r>
    <x v="3"/>
    <x v="5"/>
    <x v="18"/>
    <n v="147499"/>
    <x v="5"/>
    <x v="0"/>
  </r>
  <r>
    <x v="3"/>
    <x v="5"/>
    <x v="19"/>
    <n v="191566"/>
    <x v="5"/>
    <x v="0"/>
  </r>
  <r>
    <x v="3"/>
    <x v="5"/>
    <x v="20"/>
    <n v="203000"/>
    <x v="5"/>
    <x v="0"/>
  </r>
  <r>
    <x v="3"/>
    <x v="5"/>
    <x v="21"/>
    <n v="205095"/>
    <x v="5"/>
    <x v="0"/>
  </r>
  <r>
    <x v="3"/>
    <x v="5"/>
    <x v="22"/>
    <n v="121787"/>
    <x v="5"/>
    <x v="0"/>
  </r>
  <r>
    <x v="3"/>
    <x v="5"/>
    <x v="23"/>
    <n v="167601"/>
    <x v="5"/>
    <x v="0"/>
  </r>
  <r>
    <x v="3"/>
    <x v="5"/>
    <x v="24"/>
    <n v="158979"/>
    <x v="5"/>
    <x v="0"/>
  </r>
  <r>
    <x v="3"/>
    <x v="5"/>
    <x v="25"/>
    <n v="132720"/>
    <x v="5"/>
    <x v="0"/>
  </r>
  <r>
    <x v="3"/>
    <x v="5"/>
    <x v="26"/>
    <n v="205031"/>
    <x v="5"/>
    <x v="0"/>
  </r>
  <r>
    <x v="3"/>
    <x v="5"/>
    <x v="27"/>
    <n v="173512"/>
    <x v="5"/>
    <x v="0"/>
  </r>
  <r>
    <x v="3"/>
    <x v="5"/>
    <x v="28"/>
    <n v="220452"/>
    <x v="5"/>
    <x v="0"/>
  </r>
  <r>
    <x v="3"/>
    <x v="5"/>
    <x v="29"/>
    <n v="290704"/>
    <x v="5"/>
    <x v="0"/>
  </r>
  <r>
    <x v="3"/>
    <x v="5"/>
    <x v="30"/>
    <n v="89834"/>
    <x v="5"/>
    <x v="0"/>
  </r>
  <r>
    <x v="3"/>
    <x v="5"/>
    <x v="31"/>
    <n v="140260"/>
    <x v="5"/>
    <x v="0"/>
  </r>
  <r>
    <x v="3"/>
    <x v="5"/>
    <x v="32"/>
    <n v="0"/>
    <x v="5"/>
    <x v="0"/>
  </r>
  <r>
    <x v="3"/>
    <x v="5"/>
    <x v="33"/>
    <n v="0"/>
    <x v="5"/>
    <x v="0"/>
  </r>
  <r>
    <x v="3"/>
    <x v="5"/>
    <x v="34"/>
    <n v="0"/>
    <x v="5"/>
    <x v="0"/>
  </r>
  <r>
    <x v="3"/>
    <x v="5"/>
    <x v="35"/>
    <n v="0"/>
    <x v="5"/>
    <x v="0"/>
  </r>
  <r>
    <x v="3"/>
    <x v="5"/>
    <x v="36"/>
    <n v="0"/>
    <x v="5"/>
    <x v="0"/>
  </r>
  <r>
    <x v="3"/>
    <x v="26"/>
    <x v="0"/>
    <n v="18821"/>
    <x v="5"/>
    <x v="0"/>
  </r>
  <r>
    <x v="3"/>
    <x v="26"/>
    <x v="1"/>
    <n v="18876"/>
    <x v="5"/>
    <x v="0"/>
  </r>
  <r>
    <x v="3"/>
    <x v="26"/>
    <x v="2"/>
    <n v="7995"/>
    <x v="5"/>
    <x v="0"/>
  </r>
  <r>
    <x v="3"/>
    <x v="26"/>
    <x v="3"/>
    <n v="19358"/>
    <x v="5"/>
    <x v="0"/>
  </r>
  <r>
    <x v="3"/>
    <x v="26"/>
    <x v="4"/>
    <n v="20826"/>
    <x v="5"/>
    <x v="0"/>
  </r>
  <r>
    <x v="3"/>
    <x v="26"/>
    <x v="5"/>
    <n v="43505"/>
    <x v="5"/>
    <x v="0"/>
  </r>
  <r>
    <x v="3"/>
    <x v="26"/>
    <x v="6"/>
    <n v="24333"/>
    <x v="5"/>
    <x v="0"/>
  </r>
  <r>
    <x v="3"/>
    <x v="26"/>
    <x v="7"/>
    <n v="39627"/>
    <x v="5"/>
    <x v="0"/>
  </r>
  <r>
    <x v="3"/>
    <x v="26"/>
    <x v="8"/>
    <n v="138064"/>
    <x v="5"/>
    <x v="0"/>
  </r>
  <r>
    <x v="3"/>
    <x v="26"/>
    <x v="9"/>
    <n v="152677"/>
    <x v="5"/>
    <x v="0"/>
  </r>
  <r>
    <x v="3"/>
    <x v="26"/>
    <x v="10"/>
    <n v="162962"/>
    <x v="5"/>
    <x v="0"/>
  </r>
  <r>
    <x v="3"/>
    <x v="26"/>
    <x v="11"/>
    <n v="256861"/>
    <x v="5"/>
    <x v="0"/>
  </r>
  <r>
    <x v="3"/>
    <x v="26"/>
    <x v="12"/>
    <n v="338321"/>
    <x v="5"/>
    <x v="0"/>
  </r>
  <r>
    <x v="3"/>
    <x v="26"/>
    <x v="13"/>
    <n v="130210"/>
    <x v="5"/>
    <x v="0"/>
  </r>
  <r>
    <x v="3"/>
    <x v="26"/>
    <x v="14"/>
    <n v="257693"/>
    <x v="5"/>
    <x v="0"/>
  </r>
  <r>
    <x v="3"/>
    <x v="26"/>
    <x v="15"/>
    <n v="485144"/>
    <x v="5"/>
    <x v="0"/>
  </r>
  <r>
    <x v="3"/>
    <x v="26"/>
    <x v="16"/>
    <n v="458192"/>
    <x v="5"/>
    <x v="0"/>
  </r>
  <r>
    <x v="3"/>
    <x v="26"/>
    <x v="17"/>
    <n v="68331"/>
    <x v="5"/>
    <x v="0"/>
  </r>
  <r>
    <x v="3"/>
    <x v="26"/>
    <x v="18"/>
    <n v="81833"/>
    <x v="5"/>
    <x v="0"/>
  </r>
  <r>
    <x v="3"/>
    <x v="26"/>
    <x v="19"/>
    <n v="141995"/>
    <x v="5"/>
    <x v="0"/>
  </r>
  <r>
    <x v="3"/>
    <x v="26"/>
    <x v="20"/>
    <n v="216390"/>
    <x v="5"/>
    <x v="0"/>
  </r>
  <r>
    <x v="3"/>
    <x v="26"/>
    <x v="21"/>
    <n v="486516"/>
    <x v="5"/>
    <x v="0"/>
  </r>
  <r>
    <x v="3"/>
    <x v="26"/>
    <x v="22"/>
    <n v="412444"/>
    <x v="5"/>
    <x v="0"/>
  </r>
  <r>
    <x v="3"/>
    <x v="26"/>
    <x v="23"/>
    <n v="631224"/>
    <x v="5"/>
    <x v="0"/>
  </r>
  <r>
    <x v="3"/>
    <x v="26"/>
    <x v="24"/>
    <n v="685928"/>
    <x v="5"/>
    <x v="0"/>
  </r>
  <r>
    <x v="3"/>
    <x v="26"/>
    <x v="25"/>
    <n v="785436"/>
    <x v="5"/>
    <x v="0"/>
  </r>
  <r>
    <x v="3"/>
    <x v="26"/>
    <x v="26"/>
    <n v="402130"/>
    <x v="5"/>
    <x v="0"/>
  </r>
  <r>
    <x v="3"/>
    <x v="26"/>
    <x v="27"/>
    <n v="691712"/>
    <x v="5"/>
    <x v="0"/>
  </r>
  <r>
    <x v="3"/>
    <x v="26"/>
    <x v="28"/>
    <n v="730659"/>
    <x v="5"/>
    <x v="0"/>
  </r>
  <r>
    <x v="3"/>
    <x v="26"/>
    <x v="29"/>
    <n v="623412"/>
    <x v="5"/>
    <x v="0"/>
  </r>
  <r>
    <x v="3"/>
    <x v="26"/>
    <x v="30"/>
    <n v="562486"/>
    <x v="5"/>
    <x v="0"/>
  </r>
  <r>
    <x v="3"/>
    <x v="26"/>
    <x v="31"/>
    <n v="618440"/>
    <x v="5"/>
    <x v="0"/>
  </r>
  <r>
    <x v="3"/>
    <x v="26"/>
    <x v="32"/>
    <n v="842697"/>
    <x v="5"/>
    <x v="0"/>
  </r>
  <r>
    <x v="3"/>
    <x v="26"/>
    <x v="33"/>
    <n v="538861"/>
    <x v="5"/>
    <x v="0"/>
  </r>
  <r>
    <x v="3"/>
    <x v="26"/>
    <x v="34"/>
    <n v="366523"/>
    <x v="5"/>
    <x v="0"/>
  </r>
  <r>
    <x v="3"/>
    <x v="26"/>
    <x v="35"/>
    <n v="874313"/>
    <x v="5"/>
    <x v="0"/>
  </r>
  <r>
    <x v="3"/>
    <x v="26"/>
    <x v="36"/>
    <n v="820684"/>
    <x v="5"/>
    <x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5">
  <r>
    <x v="0"/>
    <x v="0"/>
    <x v="0"/>
    <x v="0"/>
    <n v="45.230000000000004"/>
  </r>
  <r>
    <x v="0"/>
    <x v="0"/>
    <x v="0"/>
    <x v="1"/>
    <n v="119.55"/>
  </r>
  <r>
    <x v="0"/>
    <x v="0"/>
    <x v="1"/>
    <x v="0"/>
    <n v="35"/>
  </r>
  <r>
    <x v="0"/>
    <x v="0"/>
    <x v="2"/>
    <x v="0"/>
    <n v="100.77"/>
  </r>
  <r>
    <x v="0"/>
    <x v="0"/>
    <x v="3"/>
    <x v="0"/>
    <n v="99.64"/>
  </r>
  <r>
    <x v="0"/>
    <x v="0"/>
    <x v="3"/>
    <x v="2"/>
    <n v="98.64"/>
  </r>
  <r>
    <x v="0"/>
    <x v="0"/>
    <x v="3"/>
    <x v="1"/>
    <n v="129.49"/>
  </r>
  <r>
    <x v="0"/>
    <x v="0"/>
    <x v="4"/>
    <x v="0"/>
    <n v="39.380000000000003"/>
  </r>
  <r>
    <x v="0"/>
    <x v="0"/>
    <x v="4"/>
    <x v="1"/>
    <n v="129.65"/>
  </r>
  <r>
    <x v="0"/>
    <x v="0"/>
    <x v="5"/>
    <x v="3"/>
    <n v="3.4"/>
  </r>
  <r>
    <x v="0"/>
    <x v="0"/>
    <x v="6"/>
    <x v="3"/>
    <n v="0.9"/>
  </r>
  <r>
    <x v="0"/>
    <x v="0"/>
    <x v="7"/>
    <x v="0"/>
    <n v="120.27"/>
  </r>
  <r>
    <x v="0"/>
    <x v="0"/>
    <x v="7"/>
    <x v="1"/>
    <n v="3.6"/>
  </r>
  <r>
    <x v="0"/>
    <x v="0"/>
    <x v="8"/>
    <x v="0"/>
    <n v="60.877499999999998"/>
  </r>
  <r>
    <x v="0"/>
    <x v="0"/>
    <x v="8"/>
    <x v="1"/>
    <n v="81.510000000000005"/>
  </r>
  <r>
    <x v="0"/>
    <x v="0"/>
    <x v="9"/>
    <x v="0"/>
    <n v="79.930000000000007"/>
  </r>
  <r>
    <x v="0"/>
    <x v="0"/>
    <x v="9"/>
    <x v="1"/>
    <n v="0.98"/>
  </r>
  <r>
    <x v="0"/>
    <x v="0"/>
    <x v="10"/>
    <x v="1"/>
    <n v="76.84"/>
  </r>
  <r>
    <x v="0"/>
    <x v="0"/>
    <x v="11"/>
    <x v="0"/>
    <n v="98.62"/>
  </r>
  <r>
    <x v="0"/>
    <x v="0"/>
    <x v="11"/>
    <x v="2"/>
    <n v="97.63"/>
  </r>
  <r>
    <x v="0"/>
    <x v="0"/>
    <x v="11"/>
    <x v="1"/>
    <n v="116.09"/>
  </r>
  <r>
    <x v="0"/>
    <x v="0"/>
    <x v="12"/>
    <x v="0"/>
    <n v="100.77"/>
  </r>
  <r>
    <x v="0"/>
    <x v="0"/>
    <x v="12"/>
    <x v="1"/>
    <n v="116.09"/>
  </r>
  <r>
    <x v="0"/>
    <x v="0"/>
    <x v="13"/>
    <x v="1"/>
    <n v="123"/>
  </r>
  <r>
    <x v="0"/>
    <x v="0"/>
    <x v="14"/>
    <x v="2"/>
    <m/>
  </r>
  <r>
    <x v="0"/>
    <x v="0"/>
    <x v="14"/>
    <x v="1"/>
    <n v="0"/>
  </r>
  <r>
    <x v="0"/>
    <x v="0"/>
    <x v="15"/>
    <x v="3"/>
    <n v="3102.5"/>
  </r>
  <r>
    <x v="0"/>
    <x v="0"/>
    <x v="16"/>
    <x v="0"/>
    <n v="83.05"/>
  </r>
  <r>
    <x v="0"/>
    <x v="0"/>
    <x v="16"/>
    <x v="1"/>
    <n v="96.5"/>
  </r>
  <r>
    <x v="1"/>
    <x v="1"/>
    <x v="0"/>
    <x v="0"/>
    <n v="47.09"/>
  </r>
  <r>
    <x v="1"/>
    <x v="1"/>
    <x v="0"/>
    <x v="1"/>
    <n v="126.13"/>
  </r>
  <r>
    <x v="1"/>
    <x v="1"/>
    <x v="1"/>
    <x v="0"/>
    <n v="35"/>
  </r>
  <r>
    <x v="1"/>
    <x v="1"/>
    <x v="2"/>
    <x v="0"/>
    <n v="100.77"/>
  </r>
  <r>
    <x v="1"/>
    <x v="1"/>
    <x v="3"/>
    <x v="0"/>
    <n v="101.65"/>
  </r>
  <r>
    <x v="1"/>
    <x v="1"/>
    <x v="3"/>
    <x v="2"/>
    <n v="98.12"/>
  </r>
  <r>
    <x v="1"/>
    <x v="1"/>
    <x v="3"/>
    <x v="1"/>
    <n v="134.47999999999999"/>
  </r>
  <r>
    <x v="1"/>
    <x v="1"/>
    <x v="4"/>
    <x v="0"/>
    <n v="45.752499999999998"/>
  </r>
  <r>
    <x v="1"/>
    <x v="1"/>
    <x v="4"/>
    <x v="1"/>
    <n v="129.65"/>
  </r>
  <r>
    <x v="1"/>
    <x v="1"/>
    <x v="5"/>
    <x v="3"/>
    <n v="3.4"/>
  </r>
  <r>
    <x v="1"/>
    <x v="1"/>
    <x v="6"/>
    <x v="3"/>
    <n v="0.9"/>
  </r>
  <r>
    <x v="1"/>
    <x v="1"/>
    <x v="7"/>
    <x v="0"/>
    <n v="120.27"/>
  </r>
  <r>
    <x v="1"/>
    <x v="1"/>
    <x v="7"/>
    <x v="1"/>
    <n v="3.6"/>
  </r>
  <r>
    <x v="1"/>
    <x v="1"/>
    <x v="8"/>
    <x v="0"/>
    <n v="59.01863095238096"/>
  </r>
  <r>
    <x v="1"/>
    <x v="1"/>
    <x v="8"/>
    <x v="1"/>
    <n v="81.510000000000005"/>
  </r>
  <r>
    <x v="1"/>
    <x v="1"/>
    <x v="9"/>
    <x v="0"/>
    <n v="79.930000000000007"/>
  </r>
  <r>
    <x v="1"/>
    <x v="1"/>
    <x v="9"/>
    <x v="1"/>
    <n v="0.98"/>
  </r>
  <r>
    <x v="1"/>
    <x v="1"/>
    <x v="10"/>
    <x v="1"/>
    <n v="78.83"/>
  </r>
  <r>
    <x v="1"/>
    <x v="1"/>
    <x v="11"/>
    <x v="0"/>
    <n v="98.64"/>
  </r>
  <r>
    <x v="1"/>
    <x v="1"/>
    <x v="11"/>
    <x v="2"/>
    <n v="97.16"/>
  </r>
  <r>
    <x v="1"/>
    <x v="1"/>
    <x v="11"/>
    <x v="1"/>
    <n v="118.383"/>
  </r>
  <r>
    <x v="1"/>
    <x v="1"/>
    <x v="12"/>
    <x v="0"/>
    <n v="100.77"/>
  </r>
  <r>
    <x v="1"/>
    <x v="1"/>
    <x v="12"/>
    <x v="1"/>
    <n v="122.48"/>
  </r>
  <r>
    <x v="1"/>
    <x v="1"/>
    <x v="13"/>
    <x v="1"/>
    <n v="123"/>
  </r>
  <r>
    <x v="1"/>
    <x v="1"/>
    <x v="14"/>
    <x v="2"/>
    <m/>
  </r>
  <r>
    <x v="1"/>
    <x v="1"/>
    <x v="14"/>
    <x v="1"/>
    <n v="0"/>
  </r>
  <r>
    <x v="1"/>
    <x v="1"/>
    <x v="15"/>
    <x v="3"/>
    <n v="3102.5"/>
  </r>
  <r>
    <x v="1"/>
    <x v="1"/>
    <x v="16"/>
    <x v="0"/>
    <n v="83.05"/>
  </r>
  <r>
    <x v="1"/>
    <x v="1"/>
    <x v="16"/>
    <x v="1"/>
    <n v="89.63"/>
  </r>
  <r>
    <x v="2"/>
    <x v="1"/>
    <x v="3"/>
    <x v="4"/>
    <n v="-1.556351194E-2"/>
  </r>
  <r>
    <x v="2"/>
    <x v="1"/>
    <x v="17"/>
    <x v="4"/>
    <n v="0.01"/>
  </r>
  <r>
    <x v="2"/>
    <x v="1"/>
    <x v="11"/>
    <x v="4"/>
    <n v="4.5776239147999999E-3"/>
  </r>
  <r>
    <x v="2"/>
    <x v="1"/>
    <x v="16"/>
    <x v="4"/>
    <n v="2"/>
  </r>
  <r>
    <x v="2"/>
    <x v="1"/>
    <x v="18"/>
    <x v="4"/>
    <n v="0.14299109235999999"/>
  </r>
  <r>
    <x v="2"/>
    <x v="2"/>
    <x v="0"/>
    <x v="5"/>
    <n v="6.9000000000000006E-2"/>
  </r>
  <r>
    <x v="2"/>
    <x v="2"/>
    <x v="0"/>
    <x v="0"/>
    <n v="35.4"/>
  </r>
  <r>
    <x v="2"/>
    <x v="2"/>
    <x v="0"/>
    <x v="1"/>
    <n v="126.13"/>
  </r>
  <r>
    <x v="2"/>
    <x v="2"/>
    <x v="1"/>
    <x v="5"/>
    <n v="0.7"/>
  </r>
  <r>
    <x v="2"/>
    <x v="2"/>
    <x v="1"/>
    <x v="0"/>
    <n v="50"/>
  </r>
  <r>
    <x v="2"/>
    <x v="2"/>
    <x v="2"/>
    <x v="0"/>
    <n v="100.14"/>
  </r>
  <r>
    <x v="2"/>
    <x v="2"/>
    <x v="3"/>
    <x v="0"/>
    <n v="100.74"/>
  </r>
  <r>
    <x v="2"/>
    <x v="2"/>
    <x v="3"/>
    <x v="2"/>
    <n v="96.27"/>
  </r>
  <r>
    <x v="2"/>
    <x v="2"/>
    <x v="3"/>
    <x v="1"/>
    <n v="134.47999999999999"/>
  </r>
  <r>
    <x v="2"/>
    <x v="2"/>
    <x v="3"/>
    <x v="4"/>
    <n v="4.4104026435999996E-3"/>
  </r>
  <r>
    <x v="2"/>
    <x v="2"/>
    <x v="4"/>
    <x v="5"/>
    <n v="3.5000000000000003E-2"/>
  </r>
  <r>
    <x v="2"/>
    <x v="2"/>
    <x v="4"/>
    <x v="0"/>
    <n v="29.165339245815588"/>
  </r>
  <r>
    <x v="2"/>
    <x v="2"/>
    <x v="4"/>
    <x v="1"/>
    <n v="129.65"/>
  </r>
  <r>
    <x v="2"/>
    <x v="2"/>
    <x v="5"/>
    <x v="3"/>
    <n v="3.4"/>
  </r>
  <r>
    <x v="2"/>
    <x v="2"/>
    <x v="6"/>
    <x v="3"/>
    <n v="0.9"/>
  </r>
  <r>
    <x v="2"/>
    <x v="2"/>
    <x v="17"/>
    <x v="4"/>
    <n v="0.01"/>
  </r>
  <r>
    <x v="2"/>
    <x v="2"/>
    <x v="7"/>
    <x v="0"/>
    <n v="109.31"/>
  </r>
  <r>
    <x v="2"/>
    <x v="2"/>
    <x v="7"/>
    <x v="1"/>
    <n v="3.6"/>
  </r>
  <r>
    <x v="2"/>
    <x v="2"/>
    <x v="8"/>
    <x v="5"/>
    <n v="0.10100000000000001"/>
  </r>
  <r>
    <x v="2"/>
    <x v="2"/>
    <x v="8"/>
    <x v="0"/>
    <n v="57.76"/>
  </r>
  <r>
    <x v="2"/>
    <x v="2"/>
    <x v="8"/>
    <x v="1"/>
    <n v="81.510000000000005"/>
  </r>
  <r>
    <x v="2"/>
    <x v="2"/>
    <x v="9"/>
    <x v="0"/>
    <n v="79.98"/>
  </r>
  <r>
    <x v="2"/>
    <x v="2"/>
    <x v="9"/>
    <x v="1"/>
    <n v="0.98"/>
  </r>
  <r>
    <x v="2"/>
    <x v="2"/>
    <x v="10"/>
    <x v="1"/>
    <n v="78.83"/>
  </r>
  <r>
    <x v="2"/>
    <x v="2"/>
    <x v="11"/>
    <x v="0"/>
    <n v="100.14"/>
  </r>
  <r>
    <x v="2"/>
    <x v="2"/>
    <x v="11"/>
    <x v="2"/>
    <n v="95.61"/>
  </r>
  <r>
    <x v="2"/>
    <x v="2"/>
    <x v="11"/>
    <x v="1"/>
    <n v="122.48"/>
  </r>
  <r>
    <x v="2"/>
    <x v="2"/>
    <x v="11"/>
    <x v="4"/>
    <n v="4.8945290938999996E-3"/>
  </r>
  <r>
    <x v="2"/>
    <x v="2"/>
    <x v="12"/>
    <x v="0"/>
    <n v="100.14"/>
  </r>
  <r>
    <x v="2"/>
    <x v="2"/>
    <x v="12"/>
    <x v="1"/>
    <n v="122.48"/>
  </r>
  <r>
    <x v="2"/>
    <x v="2"/>
    <x v="13"/>
    <x v="1"/>
    <n v="120"/>
  </r>
  <r>
    <x v="2"/>
    <x v="2"/>
    <x v="14"/>
    <x v="2"/>
    <n v="90.8"/>
  </r>
  <r>
    <x v="2"/>
    <x v="2"/>
    <x v="14"/>
    <x v="1"/>
    <n v="126.37"/>
  </r>
  <r>
    <x v="2"/>
    <x v="2"/>
    <x v="15"/>
    <x v="3"/>
    <n v="3102.5"/>
  </r>
  <r>
    <x v="2"/>
    <x v="2"/>
    <x v="16"/>
    <x v="0"/>
    <n v="80.88"/>
  </r>
  <r>
    <x v="2"/>
    <x v="2"/>
    <x v="16"/>
    <x v="1"/>
    <n v="89.63"/>
  </r>
  <r>
    <x v="2"/>
    <x v="2"/>
    <x v="16"/>
    <x v="4"/>
    <n v="1"/>
  </r>
  <r>
    <x v="2"/>
    <x v="2"/>
    <x v="18"/>
    <x v="4"/>
    <n v="6.5668580803999996E-2"/>
  </r>
  <r>
    <x v="3"/>
    <x v="2"/>
    <x v="0"/>
    <x v="5"/>
    <n v="8.5999999999999993E-2"/>
  </r>
  <r>
    <x v="3"/>
    <x v="2"/>
    <x v="0"/>
    <x v="0"/>
    <n v="32.596249999999998"/>
  </r>
  <r>
    <x v="3"/>
    <x v="2"/>
    <x v="1"/>
    <x v="5"/>
    <n v="0.67500000000000004"/>
  </r>
  <r>
    <x v="3"/>
    <x v="2"/>
    <x v="1"/>
    <x v="0"/>
    <n v="49"/>
  </r>
  <r>
    <x v="3"/>
    <x v="2"/>
    <x v="3"/>
    <x v="4"/>
    <n v="-3.1046501075563837E-2"/>
  </r>
  <r>
    <x v="3"/>
    <x v="2"/>
    <x v="4"/>
    <x v="5"/>
    <n v="4.2000000000000003E-2"/>
  </r>
  <r>
    <x v="3"/>
    <x v="2"/>
    <x v="4"/>
    <x v="0"/>
    <n v="33.181249999999999"/>
  </r>
  <r>
    <x v="3"/>
    <x v="2"/>
    <x v="17"/>
    <x v="4"/>
    <n v="0.5"/>
  </r>
  <r>
    <x v="3"/>
    <x v="2"/>
    <x v="8"/>
    <x v="5"/>
    <n v="0.10100000000000001"/>
  </r>
  <r>
    <x v="3"/>
    <x v="2"/>
    <x v="8"/>
    <x v="0"/>
    <n v="52.83"/>
  </r>
  <r>
    <x v="3"/>
    <x v="2"/>
    <x v="11"/>
    <x v="4"/>
    <n v="-0.106"/>
  </r>
  <r>
    <x v="3"/>
    <x v="2"/>
    <x v="15"/>
    <x v="3"/>
    <n v="3102.5"/>
  </r>
  <r>
    <x v="3"/>
    <x v="2"/>
    <x v="16"/>
    <x v="4"/>
    <n v="1"/>
  </r>
  <r>
    <x v="3"/>
    <x v="2"/>
    <x v="18"/>
    <x v="4"/>
    <n v="0.1"/>
  </r>
  <r>
    <x v="3"/>
    <x v="3"/>
    <x v="0"/>
    <x v="5"/>
    <n v="9.6000000000000002E-2"/>
  </r>
  <r>
    <x v="3"/>
    <x v="3"/>
    <x v="0"/>
    <x v="0"/>
    <n v="26.5"/>
  </r>
  <r>
    <x v="3"/>
    <x v="3"/>
    <x v="0"/>
    <x v="1"/>
    <n v="126.13"/>
  </r>
  <r>
    <x v="3"/>
    <x v="3"/>
    <x v="1"/>
    <x v="5"/>
    <n v="0.75"/>
  </r>
  <r>
    <x v="3"/>
    <x v="3"/>
    <x v="1"/>
    <x v="0"/>
    <n v="49"/>
  </r>
  <r>
    <x v="3"/>
    <x v="3"/>
    <x v="2"/>
    <x v="0"/>
    <n v="100.14"/>
  </r>
  <r>
    <x v="3"/>
    <x v="3"/>
    <x v="3"/>
    <x v="0"/>
    <n v="100.74"/>
  </r>
  <r>
    <x v="3"/>
    <x v="3"/>
    <x v="3"/>
    <x v="2"/>
    <n v="95.29"/>
  </r>
  <r>
    <x v="3"/>
    <x v="3"/>
    <x v="3"/>
    <x v="1"/>
    <n v="134.47999999999999"/>
  </r>
  <r>
    <x v="3"/>
    <x v="3"/>
    <x v="3"/>
    <x v="4"/>
    <n v="4.6262661114707893E-2"/>
  </r>
  <r>
    <x v="3"/>
    <x v="3"/>
    <x v="4"/>
    <x v="5"/>
    <n v="7.2999999999999995E-2"/>
  </r>
  <r>
    <x v="3"/>
    <x v="3"/>
    <x v="4"/>
    <x v="0"/>
    <n v="27.2"/>
  </r>
  <r>
    <x v="3"/>
    <x v="3"/>
    <x v="4"/>
    <x v="1"/>
    <n v="129.65"/>
  </r>
  <r>
    <x v="3"/>
    <x v="3"/>
    <x v="5"/>
    <x v="3"/>
    <n v="3.4"/>
  </r>
  <r>
    <x v="3"/>
    <x v="3"/>
    <x v="6"/>
    <x v="3"/>
    <n v="0.9"/>
  </r>
  <r>
    <x v="3"/>
    <x v="3"/>
    <x v="17"/>
    <x v="4"/>
    <n v="0.75"/>
  </r>
  <r>
    <x v="3"/>
    <x v="3"/>
    <x v="7"/>
    <x v="0"/>
    <n v="92"/>
  </r>
  <r>
    <x v="3"/>
    <x v="3"/>
    <x v="7"/>
    <x v="1"/>
    <n v="3.6"/>
  </r>
  <r>
    <x v="3"/>
    <x v="3"/>
    <x v="8"/>
    <x v="5"/>
    <n v="0.10100000000000001"/>
  </r>
  <r>
    <x v="3"/>
    <x v="3"/>
    <x v="8"/>
    <x v="0"/>
    <n v="47.5"/>
  </r>
  <r>
    <x v="3"/>
    <x v="3"/>
    <x v="8"/>
    <x v="1"/>
    <n v="81.510000000000005"/>
  </r>
  <r>
    <x v="3"/>
    <x v="3"/>
    <x v="9"/>
    <x v="0"/>
    <n v="79.98"/>
  </r>
  <r>
    <x v="3"/>
    <x v="3"/>
    <x v="9"/>
    <x v="1"/>
    <n v="105.5"/>
  </r>
  <r>
    <x v="3"/>
    <x v="3"/>
    <x v="10"/>
    <x v="1"/>
    <n v="78.83"/>
  </r>
  <r>
    <x v="3"/>
    <x v="3"/>
    <x v="11"/>
    <x v="0"/>
    <n v="100.14"/>
  </r>
  <r>
    <x v="3"/>
    <x v="3"/>
    <x v="11"/>
    <x v="2"/>
    <n v="94.63"/>
  </r>
  <r>
    <x v="3"/>
    <x v="3"/>
    <x v="11"/>
    <x v="1"/>
    <n v="122.48"/>
  </r>
  <r>
    <x v="3"/>
    <x v="3"/>
    <x v="11"/>
    <x v="4"/>
    <n v="0.10299999999999999"/>
  </r>
  <r>
    <x v="3"/>
    <x v="3"/>
    <x v="12"/>
    <x v="0"/>
    <n v="98.16"/>
  </r>
  <r>
    <x v="3"/>
    <x v="3"/>
    <x v="12"/>
    <x v="1"/>
    <n v="122.48"/>
  </r>
  <r>
    <x v="3"/>
    <x v="3"/>
    <x v="13"/>
    <x v="1"/>
    <n v="120"/>
  </r>
  <r>
    <x v="3"/>
    <x v="3"/>
    <x v="14"/>
    <x v="2"/>
    <n v="90.8"/>
  </r>
  <r>
    <x v="3"/>
    <x v="3"/>
    <x v="14"/>
    <x v="1"/>
    <n v="126.37"/>
  </r>
  <r>
    <x v="3"/>
    <x v="3"/>
    <x v="15"/>
    <x v="3"/>
    <n v="3102.5"/>
  </r>
  <r>
    <x v="3"/>
    <x v="3"/>
    <x v="16"/>
    <x v="0"/>
    <n v="66.010000000000005"/>
  </r>
  <r>
    <x v="3"/>
    <x v="3"/>
    <x v="16"/>
    <x v="1"/>
    <n v="89.63"/>
  </r>
  <r>
    <x v="3"/>
    <x v="3"/>
    <x v="16"/>
    <x v="4"/>
    <n v="0.7"/>
  </r>
  <r>
    <x v="3"/>
    <x v="3"/>
    <x v="18"/>
    <x v="4"/>
    <n v="7.0000000000000007E-2"/>
  </r>
  <r>
    <x v="4"/>
    <x v="3"/>
    <x v="0"/>
    <x v="5"/>
    <n v="9.8000000000000004E-2"/>
  </r>
  <r>
    <x v="4"/>
    <x v="3"/>
    <x v="0"/>
    <x v="0"/>
    <n v="36"/>
  </r>
  <r>
    <x v="4"/>
    <x v="3"/>
    <x v="1"/>
    <x v="5"/>
    <n v="0.875"/>
  </r>
  <r>
    <x v="4"/>
    <x v="3"/>
    <x v="1"/>
    <x v="0"/>
    <n v="49"/>
  </r>
  <r>
    <x v="4"/>
    <x v="3"/>
    <x v="3"/>
    <x v="4"/>
    <m/>
  </r>
  <r>
    <x v="4"/>
    <x v="3"/>
    <x v="4"/>
    <x v="5"/>
    <n v="0.03"/>
  </r>
  <r>
    <x v="4"/>
    <x v="3"/>
    <x v="4"/>
    <x v="0"/>
    <n v="37.5"/>
  </r>
  <r>
    <x v="4"/>
    <x v="3"/>
    <x v="17"/>
    <x v="4"/>
    <n v="0.5"/>
  </r>
  <r>
    <x v="4"/>
    <x v="3"/>
    <x v="8"/>
    <x v="5"/>
    <n v="0.10100000000000001"/>
  </r>
  <r>
    <x v="4"/>
    <x v="3"/>
    <x v="8"/>
    <x v="0"/>
    <n v="49"/>
  </r>
  <r>
    <x v="4"/>
    <x v="3"/>
    <x v="11"/>
    <x v="4"/>
    <m/>
  </r>
  <r>
    <x v="4"/>
    <x v="3"/>
    <x v="15"/>
    <x v="3"/>
    <n v="3102.5"/>
  </r>
  <r>
    <x v="4"/>
    <x v="3"/>
    <x v="16"/>
    <x v="4"/>
    <n v="0.5"/>
  </r>
  <r>
    <x v="4"/>
    <x v="3"/>
    <x v="18"/>
    <x v="4"/>
    <n v="0.25"/>
  </r>
  <r>
    <x v="4"/>
    <x v="4"/>
    <x v="0"/>
    <x v="5"/>
    <n v="0.105"/>
  </r>
  <r>
    <x v="4"/>
    <x v="4"/>
    <x v="0"/>
    <x v="0"/>
    <n v="31.5"/>
  </r>
  <r>
    <x v="4"/>
    <x v="4"/>
    <x v="0"/>
    <x v="1"/>
    <n v="126.13"/>
  </r>
  <r>
    <x v="4"/>
    <x v="4"/>
    <x v="1"/>
    <x v="5"/>
    <n v="0.9"/>
  </r>
  <r>
    <x v="4"/>
    <x v="4"/>
    <x v="1"/>
    <x v="0"/>
    <n v="49"/>
  </r>
  <r>
    <x v="4"/>
    <x v="4"/>
    <x v="3"/>
    <x v="0"/>
    <n v="100.74"/>
  </r>
  <r>
    <x v="4"/>
    <x v="4"/>
    <x v="3"/>
    <x v="2"/>
    <n v="93.81"/>
  </r>
  <r>
    <x v="4"/>
    <x v="4"/>
    <x v="3"/>
    <x v="1"/>
    <n v="134.47999999999999"/>
  </r>
  <r>
    <x v="4"/>
    <x v="4"/>
    <x v="3"/>
    <x v="4"/>
    <m/>
  </r>
  <r>
    <x v="4"/>
    <x v="4"/>
    <x v="4"/>
    <x v="5"/>
    <n v="0.06"/>
  </r>
  <r>
    <x v="4"/>
    <x v="4"/>
    <x v="4"/>
    <x v="0"/>
    <n v="34.75"/>
  </r>
  <r>
    <x v="4"/>
    <x v="4"/>
    <x v="4"/>
    <x v="1"/>
    <n v="129.65"/>
  </r>
  <r>
    <x v="4"/>
    <x v="4"/>
    <x v="5"/>
    <x v="3"/>
    <n v="3.4"/>
  </r>
  <r>
    <x v="4"/>
    <x v="4"/>
    <x v="6"/>
    <x v="3"/>
    <n v="0.9"/>
  </r>
  <r>
    <x v="4"/>
    <x v="4"/>
    <x v="17"/>
    <x v="4"/>
    <n v="0.65"/>
  </r>
  <r>
    <x v="4"/>
    <x v="4"/>
    <x v="7"/>
    <x v="0"/>
    <n v="15"/>
  </r>
  <r>
    <x v="4"/>
    <x v="4"/>
    <x v="7"/>
    <x v="1"/>
    <n v="3.6"/>
  </r>
  <r>
    <x v="4"/>
    <x v="4"/>
    <x v="8"/>
    <x v="5"/>
    <n v="0.10100000000000001"/>
  </r>
  <r>
    <x v="4"/>
    <x v="4"/>
    <x v="8"/>
    <x v="0"/>
    <n v="46.5"/>
  </r>
  <r>
    <x v="4"/>
    <x v="4"/>
    <x v="8"/>
    <x v="1"/>
    <n v="81.510000000000005"/>
  </r>
  <r>
    <x v="4"/>
    <x v="4"/>
    <x v="9"/>
    <x v="0"/>
    <n v="79.98"/>
  </r>
  <r>
    <x v="4"/>
    <x v="4"/>
    <x v="9"/>
    <x v="1"/>
    <n v="105.5"/>
  </r>
  <r>
    <x v="4"/>
    <x v="4"/>
    <x v="10"/>
    <x v="1"/>
    <n v="78.83"/>
  </r>
  <r>
    <x v="4"/>
    <x v="4"/>
    <x v="11"/>
    <x v="0"/>
    <n v="100.14"/>
  </r>
  <r>
    <x v="4"/>
    <x v="4"/>
    <x v="11"/>
    <x v="2"/>
    <n v="93.15"/>
  </r>
  <r>
    <x v="4"/>
    <x v="4"/>
    <x v="11"/>
    <x v="1"/>
    <n v="122.48"/>
  </r>
  <r>
    <x v="4"/>
    <x v="4"/>
    <x v="11"/>
    <x v="4"/>
    <m/>
  </r>
  <r>
    <x v="4"/>
    <x v="4"/>
    <x v="12"/>
    <x v="0"/>
    <n v="98.06"/>
  </r>
  <r>
    <x v="4"/>
    <x v="4"/>
    <x v="12"/>
    <x v="1"/>
    <n v="122.48"/>
  </r>
  <r>
    <x v="4"/>
    <x v="4"/>
    <x v="13"/>
    <x v="1"/>
    <n v="120"/>
  </r>
  <r>
    <x v="4"/>
    <x v="4"/>
    <x v="14"/>
    <x v="2"/>
    <n v="90.8"/>
  </r>
  <r>
    <x v="4"/>
    <x v="4"/>
    <x v="14"/>
    <x v="1"/>
    <n v="126.37"/>
  </r>
  <r>
    <x v="4"/>
    <x v="4"/>
    <x v="15"/>
    <x v="3"/>
    <n v="3102.5"/>
  </r>
  <r>
    <x v="4"/>
    <x v="4"/>
    <x v="16"/>
    <x v="0"/>
    <n v="48"/>
  </r>
  <r>
    <x v="4"/>
    <x v="4"/>
    <x v="16"/>
    <x v="1"/>
    <n v="89.63"/>
  </r>
  <r>
    <x v="4"/>
    <x v="4"/>
    <x v="16"/>
    <x v="4"/>
    <n v="0.7"/>
  </r>
  <r>
    <x v="4"/>
    <x v="4"/>
    <x v="18"/>
    <x v="4"/>
    <n v="0.35"/>
  </r>
  <r>
    <x v="5"/>
    <x v="4"/>
    <x v="0"/>
    <x v="5"/>
    <n v="0.1"/>
  </r>
  <r>
    <x v="5"/>
    <x v="4"/>
    <x v="0"/>
    <x v="0"/>
    <n v="40"/>
  </r>
  <r>
    <x v="5"/>
    <x v="4"/>
    <x v="1"/>
    <x v="5"/>
    <n v="0.92500000000000004"/>
  </r>
  <r>
    <x v="5"/>
    <x v="4"/>
    <x v="1"/>
    <x v="0"/>
    <n v="12"/>
  </r>
  <r>
    <x v="5"/>
    <x v="4"/>
    <x v="3"/>
    <x v="4"/>
    <m/>
  </r>
  <r>
    <x v="5"/>
    <x v="4"/>
    <x v="4"/>
    <x v="5"/>
    <n v="2.5000000000000001E-2"/>
  </r>
  <r>
    <x v="5"/>
    <x v="4"/>
    <x v="4"/>
    <x v="0"/>
    <n v="36"/>
  </r>
  <r>
    <x v="5"/>
    <x v="4"/>
    <x v="17"/>
    <x v="4"/>
    <n v="0.5"/>
  </r>
  <r>
    <x v="5"/>
    <x v="4"/>
    <x v="8"/>
    <x v="5"/>
    <n v="0.10199999999999999"/>
  </r>
  <r>
    <x v="5"/>
    <x v="4"/>
    <x v="8"/>
    <x v="0"/>
    <n v="52"/>
  </r>
  <r>
    <x v="5"/>
    <x v="4"/>
    <x v="11"/>
    <x v="4"/>
    <m/>
  </r>
  <r>
    <x v="5"/>
    <x v="4"/>
    <x v="15"/>
    <x v="3"/>
    <n v="3102.5"/>
  </r>
  <r>
    <x v="5"/>
    <x v="4"/>
    <x v="16"/>
    <x v="5"/>
    <n v="0.2"/>
  </r>
  <r>
    <x v="5"/>
    <x v="4"/>
    <x v="16"/>
    <x v="4"/>
    <n v="0.25"/>
  </r>
  <r>
    <x v="5"/>
    <x v="4"/>
    <x v="18"/>
    <x v="4"/>
    <n v="0.1"/>
  </r>
  <r>
    <x v="5"/>
    <x v="5"/>
    <x v="0"/>
    <x v="5"/>
    <n v="0.11"/>
  </r>
  <r>
    <x v="5"/>
    <x v="5"/>
    <x v="0"/>
    <x v="0"/>
    <n v="39"/>
  </r>
  <r>
    <x v="5"/>
    <x v="5"/>
    <x v="0"/>
    <x v="1"/>
    <n v="126.13"/>
  </r>
  <r>
    <x v="5"/>
    <x v="5"/>
    <x v="1"/>
    <x v="5"/>
    <n v="0.95"/>
  </r>
  <r>
    <x v="5"/>
    <x v="5"/>
    <x v="1"/>
    <x v="0"/>
    <n v="0"/>
  </r>
  <r>
    <x v="5"/>
    <x v="5"/>
    <x v="3"/>
    <x v="0"/>
    <n v="100.74"/>
  </r>
  <r>
    <x v="5"/>
    <x v="5"/>
    <x v="3"/>
    <x v="2"/>
    <n v="92.32"/>
  </r>
  <r>
    <x v="5"/>
    <x v="5"/>
    <x v="3"/>
    <x v="1"/>
    <n v="134.47999999999999"/>
  </r>
  <r>
    <x v="5"/>
    <x v="5"/>
    <x v="3"/>
    <x v="4"/>
    <m/>
  </r>
  <r>
    <x v="5"/>
    <x v="5"/>
    <x v="4"/>
    <x v="5"/>
    <n v="3.5000000000000003E-2"/>
  </r>
  <r>
    <x v="5"/>
    <x v="5"/>
    <x v="4"/>
    <x v="0"/>
    <n v="34"/>
  </r>
  <r>
    <x v="5"/>
    <x v="5"/>
    <x v="4"/>
    <x v="1"/>
    <n v="129.65"/>
  </r>
  <r>
    <x v="5"/>
    <x v="5"/>
    <x v="5"/>
    <x v="3"/>
    <n v="3.4"/>
  </r>
  <r>
    <x v="5"/>
    <x v="5"/>
    <x v="6"/>
    <x v="3"/>
    <n v="0.9"/>
  </r>
  <r>
    <x v="5"/>
    <x v="5"/>
    <x v="17"/>
    <x v="4"/>
    <n v="0.5"/>
  </r>
  <r>
    <x v="5"/>
    <x v="5"/>
    <x v="7"/>
    <x v="0"/>
    <n v="10"/>
  </r>
  <r>
    <x v="5"/>
    <x v="5"/>
    <x v="7"/>
    <x v="1"/>
    <n v="3.6"/>
  </r>
  <r>
    <x v="5"/>
    <x v="5"/>
    <x v="8"/>
    <x v="5"/>
    <n v="0.10199999999999999"/>
  </r>
  <r>
    <x v="5"/>
    <x v="5"/>
    <x v="8"/>
    <x v="0"/>
    <n v="50"/>
  </r>
  <r>
    <x v="5"/>
    <x v="5"/>
    <x v="8"/>
    <x v="1"/>
    <n v="81.510000000000005"/>
  </r>
  <r>
    <x v="5"/>
    <x v="5"/>
    <x v="9"/>
    <x v="0"/>
    <n v="79.98"/>
  </r>
  <r>
    <x v="5"/>
    <x v="5"/>
    <x v="9"/>
    <x v="1"/>
    <n v="105.5"/>
  </r>
  <r>
    <x v="5"/>
    <x v="5"/>
    <x v="10"/>
    <x v="1"/>
    <n v="78.83"/>
  </r>
  <r>
    <x v="5"/>
    <x v="5"/>
    <x v="11"/>
    <x v="0"/>
    <n v="100.14"/>
  </r>
  <r>
    <x v="5"/>
    <x v="5"/>
    <x v="11"/>
    <x v="2"/>
    <n v="91.68"/>
  </r>
  <r>
    <x v="5"/>
    <x v="5"/>
    <x v="11"/>
    <x v="1"/>
    <n v="122.48"/>
  </r>
  <r>
    <x v="5"/>
    <x v="5"/>
    <x v="11"/>
    <x v="4"/>
    <m/>
  </r>
  <r>
    <x v="5"/>
    <x v="5"/>
    <x v="12"/>
    <x v="0"/>
    <n v="98.06"/>
  </r>
  <r>
    <x v="5"/>
    <x v="5"/>
    <x v="12"/>
    <x v="1"/>
    <n v="122.48"/>
  </r>
  <r>
    <x v="5"/>
    <x v="5"/>
    <x v="13"/>
    <x v="1"/>
    <n v="120"/>
  </r>
  <r>
    <x v="5"/>
    <x v="5"/>
    <x v="14"/>
    <x v="2"/>
    <n v="90.8"/>
  </r>
  <r>
    <x v="5"/>
    <x v="5"/>
    <x v="14"/>
    <x v="1"/>
    <n v="126.37"/>
  </r>
  <r>
    <x v="5"/>
    <x v="5"/>
    <x v="15"/>
    <x v="3"/>
    <n v="3102.5"/>
  </r>
  <r>
    <x v="5"/>
    <x v="5"/>
    <x v="16"/>
    <x v="0"/>
    <n v="53"/>
  </r>
  <r>
    <x v="5"/>
    <x v="5"/>
    <x v="16"/>
    <x v="1"/>
    <n v="89.63"/>
  </r>
  <r>
    <x v="5"/>
    <x v="5"/>
    <x v="16"/>
    <x v="4"/>
    <n v="0.25"/>
  </r>
  <r>
    <x v="5"/>
    <x v="5"/>
    <x v="18"/>
    <x v="4"/>
    <n v="0.12"/>
  </r>
  <r>
    <x v="6"/>
    <x v="5"/>
    <x v="0"/>
    <x v="5"/>
    <n v="9.5000000000000001E-2"/>
  </r>
  <r>
    <x v="6"/>
    <x v="5"/>
    <x v="0"/>
    <x v="0"/>
    <n v="41"/>
  </r>
  <r>
    <x v="6"/>
    <x v="5"/>
    <x v="1"/>
    <x v="5"/>
    <n v="0.95"/>
  </r>
  <r>
    <x v="6"/>
    <x v="5"/>
    <x v="1"/>
    <x v="0"/>
    <n v="5"/>
  </r>
  <r>
    <x v="6"/>
    <x v="5"/>
    <x v="3"/>
    <x v="4"/>
    <m/>
  </r>
  <r>
    <x v="6"/>
    <x v="5"/>
    <x v="4"/>
    <x v="5"/>
    <n v="0.08"/>
  </r>
  <r>
    <x v="6"/>
    <x v="5"/>
    <x v="4"/>
    <x v="0"/>
    <n v="40.5"/>
  </r>
  <r>
    <x v="6"/>
    <x v="5"/>
    <x v="17"/>
    <x v="4"/>
    <n v="0.35"/>
  </r>
  <r>
    <x v="6"/>
    <x v="5"/>
    <x v="8"/>
    <x v="5"/>
    <n v="0.10100000000000001"/>
  </r>
  <r>
    <x v="6"/>
    <x v="5"/>
    <x v="8"/>
    <x v="0"/>
    <n v="51"/>
  </r>
  <r>
    <x v="6"/>
    <x v="5"/>
    <x v="11"/>
    <x v="4"/>
    <m/>
  </r>
  <r>
    <x v="6"/>
    <x v="5"/>
    <x v="15"/>
    <x v="3"/>
    <n v="3103"/>
  </r>
  <r>
    <x v="6"/>
    <x v="5"/>
    <x v="16"/>
    <x v="5"/>
    <n v="0.3"/>
  </r>
  <r>
    <x v="6"/>
    <x v="5"/>
    <x v="16"/>
    <x v="4"/>
    <n v="0.25"/>
  </r>
  <r>
    <x v="6"/>
    <x v="5"/>
    <x v="18"/>
    <x v="4"/>
    <n v="0.1"/>
  </r>
  <r>
    <x v="6"/>
    <x v="6"/>
    <x v="0"/>
    <x v="5"/>
    <n v="9.8000000000000004E-2"/>
  </r>
  <r>
    <x v="6"/>
    <x v="6"/>
    <x v="0"/>
    <x v="0"/>
    <n v="40.5"/>
  </r>
  <r>
    <x v="6"/>
    <x v="6"/>
    <x v="0"/>
    <x v="1"/>
    <n v="126.13"/>
  </r>
  <r>
    <x v="6"/>
    <x v="6"/>
    <x v="1"/>
    <x v="5"/>
    <n v="0.97499999999999998"/>
  </r>
  <r>
    <x v="6"/>
    <x v="6"/>
    <x v="1"/>
    <x v="0"/>
    <n v="2.5"/>
  </r>
  <r>
    <x v="6"/>
    <x v="6"/>
    <x v="3"/>
    <x v="0"/>
    <n v="100.74"/>
  </r>
  <r>
    <x v="6"/>
    <x v="6"/>
    <x v="3"/>
    <x v="2"/>
    <n v="90.84"/>
  </r>
  <r>
    <x v="6"/>
    <x v="6"/>
    <x v="3"/>
    <x v="1"/>
    <n v="134.47999999999999"/>
  </r>
  <r>
    <x v="6"/>
    <x v="6"/>
    <x v="3"/>
    <x v="4"/>
    <m/>
  </r>
  <r>
    <x v="6"/>
    <x v="6"/>
    <x v="4"/>
    <x v="5"/>
    <n v="0.1"/>
  </r>
  <r>
    <x v="6"/>
    <x v="6"/>
    <x v="4"/>
    <x v="0"/>
    <n v="41.45"/>
  </r>
  <r>
    <x v="6"/>
    <x v="6"/>
    <x v="4"/>
    <x v="1"/>
    <n v="129.65"/>
  </r>
  <r>
    <x v="6"/>
    <x v="6"/>
    <x v="5"/>
    <x v="3"/>
    <n v="3.4"/>
  </r>
  <r>
    <x v="6"/>
    <x v="6"/>
    <x v="6"/>
    <x v="3"/>
    <n v="0.9"/>
  </r>
  <r>
    <x v="6"/>
    <x v="6"/>
    <x v="17"/>
    <x v="4"/>
    <n v="0.25"/>
  </r>
  <r>
    <x v="6"/>
    <x v="6"/>
    <x v="7"/>
    <x v="0"/>
    <n v="0"/>
  </r>
  <r>
    <x v="6"/>
    <x v="6"/>
    <x v="7"/>
    <x v="1"/>
    <n v="3.6"/>
  </r>
  <r>
    <x v="6"/>
    <x v="6"/>
    <x v="8"/>
    <x v="5"/>
    <n v="0.10150000000000001"/>
  </r>
  <r>
    <x v="6"/>
    <x v="6"/>
    <x v="8"/>
    <x v="0"/>
    <n v="50"/>
  </r>
  <r>
    <x v="6"/>
    <x v="6"/>
    <x v="8"/>
    <x v="1"/>
    <n v="81.510000000000005"/>
  </r>
  <r>
    <x v="6"/>
    <x v="6"/>
    <x v="9"/>
    <x v="0"/>
    <n v="79.98"/>
  </r>
  <r>
    <x v="6"/>
    <x v="6"/>
    <x v="9"/>
    <x v="1"/>
    <n v="105.5"/>
  </r>
  <r>
    <x v="6"/>
    <x v="6"/>
    <x v="10"/>
    <x v="1"/>
    <n v="78.83"/>
  </r>
  <r>
    <x v="6"/>
    <x v="6"/>
    <x v="11"/>
    <x v="0"/>
    <n v="100.14"/>
  </r>
  <r>
    <x v="6"/>
    <x v="6"/>
    <x v="11"/>
    <x v="2"/>
    <n v="90.21"/>
  </r>
  <r>
    <x v="6"/>
    <x v="6"/>
    <x v="11"/>
    <x v="1"/>
    <n v="122.48"/>
  </r>
  <r>
    <x v="6"/>
    <x v="6"/>
    <x v="11"/>
    <x v="4"/>
    <m/>
  </r>
  <r>
    <x v="6"/>
    <x v="6"/>
    <x v="12"/>
    <x v="0"/>
    <n v="98.06"/>
  </r>
  <r>
    <x v="6"/>
    <x v="6"/>
    <x v="12"/>
    <x v="1"/>
    <n v="122.48"/>
  </r>
  <r>
    <x v="6"/>
    <x v="6"/>
    <x v="13"/>
    <x v="1"/>
    <n v="120"/>
  </r>
  <r>
    <x v="6"/>
    <x v="6"/>
    <x v="14"/>
    <x v="2"/>
    <n v="90.8"/>
  </r>
  <r>
    <x v="6"/>
    <x v="6"/>
    <x v="14"/>
    <x v="1"/>
    <n v="126.37"/>
  </r>
  <r>
    <x v="6"/>
    <x v="6"/>
    <x v="15"/>
    <x v="3"/>
    <n v="3103"/>
  </r>
  <r>
    <x v="6"/>
    <x v="6"/>
    <x v="16"/>
    <x v="5"/>
    <n v="0.35"/>
  </r>
  <r>
    <x v="6"/>
    <x v="6"/>
    <x v="16"/>
    <x v="0"/>
    <n v="48"/>
  </r>
  <r>
    <x v="6"/>
    <x v="6"/>
    <x v="16"/>
    <x v="1"/>
    <n v="89.63"/>
  </r>
  <r>
    <x v="6"/>
    <x v="6"/>
    <x v="16"/>
    <x v="4"/>
    <n v="0.18"/>
  </r>
  <r>
    <x v="6"/>
    <x v="6"/>
    <x v="18"/>
    <x v="4"/>
    <n v="0.15"/>
  </r>
  <r>
    <x v="7"/>
    <x v="7"/>
    <x v="11"/>
    <x v="1"/>
    <n v="122.48"/>
  </r>
  <r>
    <x v="7"/>
    <x v="7"/>
    <x v="3"/>
    <x v="1"/>
    <n v="134.47999999999999"/>
  </r>
  <r>
    <x v="7"/>
    <x v="7"/>
    <x v="9"/>
    <x v="1"/>
    <n v="105.5"/>
  </r>
  <r>
    <x v="7"/>
    <x v="7"/>
    <x v="10"/>
    <x v="1"/>
    <n v="78.83"/>
  </r>
  <r>
    <x v="7"/>
    <x v="7"/>
    <x v="7"/>
    <x v="1"/>
    <n v="3.6"/>
  </r>
  <r>
    <x v="7"/>
    <x v="7"/>
    <x v="13"/>
    <x v="1"/>
    <n v="120"/>
  </r>
  <r>
    <x v="7"/>
    <x v="7"/>
    <x v="8"/>
    <x v="1"/>
    <n v="81.510000000000005"/>
  </r>
  <r>
    <x v="7"/>
    <x v="7"/>
    <x v="0"/>
    <x v="1"/>
    <n v="126.13"/>
  </r>
  <r>
    <x v="7"/>
    <x v="7"/>
    <x v="4"/>
    <x v="1"/>
    <n v="129.65"/>
  </r>
  <r>
    <x v="7"/>
    <x v="7"/>
    <x v="16"/>
    <x v="1"/>
    <n v="89.63"/>
  </r>
  <r>
    <x v="7"/>
    <x v="7"/>
    <x v="12"/>
    <x v="1"/>
    <n v="122.48"/>
  </r>
  <r>
    <x v="7"/>
    <x v="7"/>
    <x v="14"/>
    <x v="1"/>
    <n v="126.37"/>
  </r>
  <r>
    <x v="7"/>
    <x v="7"/>
    <x v="11"/>
    <x v="2"/>
    <n v="88.25"/>
  </r>
  <r>
    <x v="7"/>
    <x v="7"/>
    <x v="3"/>
    <x v="2"/>
    <n v="88.87"/>
  </r>
  <r>
    <x v="7"/>
    <x v="7"/>
    <x v="14"/>
    <x v="2"/>
    <n v="88.87"/>
  </r>
  <r>
    <x v="7"/>
    <x v="7"/>
    <x v="11"/>
    <x v="0"/>
    <n v="100.14"/>
  </r>
  <r>
    <x v="7"/>
    <x v="7"/>
    <x v="3"/>
    <x v="0"/>
    <n v="100.74"/>
  </r>
  <r>
    <x v="7"/>
    <x v="7"/>
    <x v="12"/>
    <x v="0"/>
    <n v="98.06"/>
  </r>
  <r>
    <x v="7"/>
    <x v="7"/>
    <x v="7"/>
    <x v="0"/>
    <n v="0"/>
  </r>
  <r>
    <x v="7"/>
    <x v="7"/>
    <x v="9"/>
    <x v="0"/>
    <n v="79.98"/>
  </r>
  <r>
    <x v="7"/>
    <x v="6"/>
    <x v="1"/>
    <x v="0"/>
    <n v="2.5"/>
  </r>
  <r>
    <x v="7"/>
    <x v="7"/>
    <x v="1"/>
    <x v="0"/>
    <n v="0"/>
  </r>
  <r>
    <x v="7"/>
    <x v="7"/>
    <x v="16"/>
    <x v="0"/>
    <n v="45"/>
  </r>
  <r>
    <x v="7"/>
    <x v="6"/>
    <x v="8"/>
    <x v="0"/>
    <n v="50.5"/>
  </r>
  <r>
    <x v="7"/>
    <x v="7"/>
    <x v="8"/>
    <x v="0"/>
    <n v="50"/>
  </r>
  <r>
    <x v="7"/>
    <x v="6"/>
    <x v="0"/>
    <x v="0"/>
    <n v="44"/>
  </r>
  <r>
    <x v="7"/>
    <x v="7"/>
    <x v="0"/>
    <x v="0"/>
    <n v="43"/>
  </r>
  <r>
    <x v="7"/>
    <x v="6"/>
    <x v="4"/>
    <x v="0"/>
    <n v="39"/>
  </r>
  <r>
    <x v="7"/>
    <x v="7"/>
    <x v="4"/>
    <x v="0"/>
    <n v="39"/>
  </r>
  <r>
    <x v="7"/>
    <x v="6"/>
    <x v="15"/>
    <x v="3"/>
    <n v="3103"/>
  </r>
  <r>
    <x v="7"/>
    <x v="7"/>
    <x v="15"/>
    <x v="3"/>
    <n v="3103"/>
  </r>
  <r>
    <x v="7"/>
    <x v="7"/>
    <x v="5"/>
    <x v="3"/>
    <n v="3.4"/>
  </r>
  <r>
    <x v="7"/>
    <x v="7"/>
    <x v="6"/>
    <x v="3"/>
    <n v="0.9"/>
  </r>
  <r>
    <x v="7"/>
    <x v="6"/>
    <x v="11"/>
    <x v="4"/>
    <m/>
  </r>
  <r>
    <x v="7"/>
    <x v="7"/>
    <x v="11"/>
    <x v="4"/>
    <m/>
  </r>
  <r>
    <x v="7"/>
    <x v="6"/>
    <x v="3"/>
    <x v="4"/>
    <m/>
  </r>
  <r>
    <x v="7"/>
    <x v="7"/>
    <x v="3"/>
    <x v="4"/>
    <m/>
  </r>
  <r>
    <x v="7"/>
    <x v="6"/>
    <x v="17"/>
    <x v="4"/>
    <n v="0.35"/>
  </r>
  <r>
    <x v="7"/>
    <x v="7"/>
    <x v="17"/>
    <x v="4"/>
    <n v="0.25"/>
  </r>
  <r>
    <x v="7"/>
    <x v="6"/>
    <x v="18"/>
    <x v="4"/>
    <n v="0.08"/>
  </r>
  <r>
    <x v="7"/>
    <x v="7"/>
    <x v="18"/>
    <x v="4"/>
    <n v="6.5000000000000002E-2"/>
  </r>
  <r>
    <x v="7"/>
    <x v="6"/>
    <x v="16"/>
    <x v="4"/>
    <n v="0.18"/>
  </r>
  <r>
    <x v="7"/>
    <x v="7"/>
    <x v="16"/>
    <x v="4"/>
    <n v="0.12"/>
  </r>
  <r>
    <x v="7"/>
    <x v="7"/>
    <x v="8"/>
    <x v="5"/>
    <n v="0.10199999999999999"/>
  </r>
  <r>
    <x v="7"/>
    <x v="6"/>
    <x v="8"/>
    <x v="5"/>
    <n v="0.10199999999999999"/>
  </r>
  <r>
    <x v="7"/>
    <x v="7"/>
    <x v="0"/>
    <x v="5"/>
    <n v="0.105"/>
  </r>
  <r>
    <x v="7"/>
    <x v="6"/>
    <x v="0"/>
    <x v="5"/>
    <n v="0.10199999999999999"/>
  </r>
  <r>
    <x v="7"/>
    <x v="7"/>
    <x v="4"/>
    <x v="5"/>
    <n v="0.25"/>
  </r>
  <r>
    <x v="7"/>
    <x v="6"/>
    <x v="4"/>
    <x v="5"/>
    <n v="0.19"/>
  </r>
  <r>
    <x v="7"/>
    <x v="7"/>
    <x v="1"/>
    <x v="5"/>
    <n v="0.99"/>
  </r>
  <r>
    <x v="7"/>
    <x v="6"/>
    <x v="1"/>
    <x v="5"/>
    <n v="0.99"/>
  </r>
  <r>
    <x v="7"/>
    <x v="7"/>
    <x v="16"/>
    <x v="5"/>
    <n v="0.4"/>
  </r>
  <r>
    <x v="7"/>
    <x v="6"/>
    <x v="16"/>
    <x v="5"/>
    <n v="0.35"/>
  </r>
  <r>
    <x v="8"/>
    <x v="8"/>
    <x v="11"/>
    <x v="1"/>
    <n v="122.48"/>
  </r>
  <r>
    <x v="8"/>
    <x v="8"/>
    <x v="3"/>
    <x v="1"/>
    <n v="134.47999999999999"/>
  </r>
  <r>
    <x v="8"/>
    <x v="8"/>
    <x v="9"/>
    <x v="1"/>
    <n v="105.5"/>
  </r>
  <r>
    <x v="8"/>
    <x v="8"/>
    <x v="10"/>
    <x v="1"/>
    <n v="78.83"/>
  </r>
  <r>
    <x v="8"/>
    <x v="8"/>
    <x v="7"/>
    <x v="1"/>
    <n v="3.6"/>
  </r>
  <r>
    <x v="8"/>
    <x v="8"/>
    <x v="13"/>
    <x v="1"/>
    <n v="120"/>
  </r>
  <r>
    <x v="8"/>
    <x v="8"/>
    <x v="8"/>
    <x v="1"/>
    <n v="81.510000000000005"/>
  </r>
  <r>
    <x v="8"/>
    <x v="8"/>
    <x v="0"/>
    <x v="1"/>
    <n v="126.13"/>
  </r>
  <r>
    <x v="8"/>
    <x v="8"/>
    <x v="4"/>
    <x v="1"/>
    <n v="129.65"/>
  </r>
  <r>
    <x v="8"/>
    <x v="8"/>
    <x v="16"/>
    <x v="1"/>
    <n v="89.63"/>
  </r>
  <r>
    <x v="8"/>
    <x v="8"/>
    <x v="12"/>
    <x v="1"/>
    <n v="122.48"/>
  </r>
  <r>
    <x v="8"/>
    <x v="8"/>
    <x v="14"/>
    <x v="1"/>
    <n v="126.37"/>
  </r>
  <r>
    <x v="8"/>
    <x v="8"/>
    <x v="11"/>
    <x v="2"/>
    <n v="84.92"/>
  </r>
  <r>
    <x v="8"/>
    <x v="8"/>
    <x v="3"/>
    <x v="2"/>
    <n v="90.4"/>
  </r>
  <r>
    <x v="8"/>
    <x v="8"/>
    <x v="14"/>
    <x v="2"/>
    <n v="88.21"/>
  </r>
  <r>
    <x v="8"/>
    <x v="8"/>
    <x v="11"/>
    <x v="0"/>
    <n v="98.12"/>
  </r>
  <r>
    <x v="8"/>
    <x v="8"/>
    <x v="3"/>
    <x v="0"/>
    <n v="104.92"/>
  </r>
  <r>
    <x v="8"/>
    <x v="8"/>
    <x v="12"/>
    <x v="0"/>
    <n v="96.5"/>
  </r>
  <r>
    <x v="8"/>
    <x v="8"/>
    <x v="7"/>
    <x v="0"/>
    <n v="0"/>
  </r>
  <r>
    <x v="8"/>
    <x v="8"/>
    <x v="9"/>
    <x v="0"/>
    <n v="81.89"/>
  </r>
  <r>
    <x v="8"/>
    <x v="7"/>
    <x v="1"/>
    <x v="0"/>
    <n v="0"/>
  </r>
  <r>
    <x v="8"/>
    <x v="8"/>
    <x v="1"/>
    <x v="0"/>
    <n v="0"/>
  </r>
  <r>
    <x v="8"/>
    <x v="8"/>
    <x v="16"/>
    <x v="0"/>
    <n v="45"/>
  </r>
  <r>
    <x v="8"/>
    <x v="7"/>
    <x v="8"/>
    <x v="0"/>
    <n v="48"/>
  </r>
  <r>
    <x v="8"/>
    <x v="8"/>
    <x v="8"/>
    <x v="0"/>
    <n v="47.5"/>
  </r>
  <r>
    <x v="8"/>
    <x v="7"/>
    <x v="0"/>
    <x v="0"/>
    <n v="43.5"/>
  </r>
  <r>
    <x v="8"/>
    <x v="8"/>
    <x v="0"/>
    <x v="0"/>
    <n v="42.5"/>
  </r>
  <r>
    <x v="8"/>
    <x v="7"/>
    <x v="4"/>
    <x v="0"/>
    <n v="36"/>
  </r>
  <r>
    <x v="8"/>
    <x v="8"/>
    <x v="4"/>
    <x v="0"/>
    <n v="37"/>
  </r>
  <r>
    <x v="8"/>
    <x v="7"/>
    <x v="15"/>
    <x v="3"/>
    <n v="3103"/>
  </r>
  <r>
    <x v="8"/>
    <x v="8"/>
    <x v="15"/>
    <x v="3"/>
    <n v="3103"/>
  </r>
  <r>
    <x v="8"/>
    <x v="8"/>
    <x v="5"/>
    <x v="3"/>
    <n v="3.4"/>
  </r>
  <r>
    <x v="8"/>
    <x v="8"/>
    <x v="6"/>
    <x v="3"/>
    <n v="0.9"/>
  </r>
  <r>
    <x v="8"/>
    <x v="7"/>
    <x v="11"/>
    <x v="4"/>
    <m/>
  </r>
  <r>
    <x v="8"/>
    <x v="8"/>
    <x v="11"/>
    <x v="4"/>
    <m/>
  </r>
  <r>
    <x v="8"/>
    <x v="7"/>
    <x v="3"/>
    <x v="4"/>
    <m/>
  </r>
  <r>
    <x v="8"/>
    <x v="8"/>
    <x v="3"/>
    <x v="4"/>
    <m/>
  </r>
  <r>
    <x v="8"/>
    <x v="7"/>
    <x v="17"/>
    <x v="4"/>
    <n v="0.1"/>
  </r>
  <r>
    <x v="8"/>
    <x v="8"/>
    <x v="17"/>
    <x v="4"/>
    <n v="0.15"/>
  </r>
  <r>
    <x v="8"/>
    <x v="7"/>
    <x v="18"/>
    <x v="4"/>
    <n v="3.5000000000000003E-2"/>
  </r>
  <r>
    <x v="8"/>
    <x v="8"/>
    <x v="18"/>
    <x v="4"/>
    <n v="2.5000000000000001E-2"/>
  </r>
  <r>
    <x v="8"/>
    <x v="7"/>
    <x v="16"/>
    <x v="4"/>
    <n v="0.18"/>
  </r>
  <r>
    <x v="8"/>
    <x v="8"/>
    <x v="16"/>
    <x v="4"/>
    <n v="0.12"/>
  </r>
  <r>
    <x v="8"/>
    <x v="8"/>
    <x v="8"/>
    <x v="5"/>
    <n v="0.10199999999999999"/>
  </r>
  <r>
    <x v="8"/>
    <x v="7"/>
    <x v="8"/>
    <x v="5"/>
    <n v="0.10199999999999999"/>
  </r>
  <r>
    <x v="8"/>
    <x v="8"/>
    <x v="0"/>
    <x v="5"/>
    <n v="0.115"/>
  </r>
  <r>
    <x v="8"/>
    <x v="7"/>
    <x v="0"/>
    <x v="5"/>
    <n v="0.105"/>
  </r>
  <r>
    <x v="8"/>
    <x v="8"/>
    <x v="4"/>
    <x v="5"/>
    <n v="0.25"/>
  </r>
  <r>
    <x v="8"/>
    <x v="7"/>
    <x v="4"/>
    <x v="5"/>
    <n v="0.2"/>
  </r>
  <r>
    <x v="8"/>
    <x v="8"/>
    <x v="1"/>
    <x v="5"/>
    <n v="0.99"/>
  </r>
  <r>
    <x v="8"/>
    <x v="7"/>
    <x v="1"/>
    <x v="5"/>
    <n v="0.99"/>
  </r>
  <r>
    <x v="8"/>
    <x v="8"/>
    <x v="16"/>
    <x v="5"/>
    <n v="0.25"/>
  </r>
  <r>
    <x v="8"/>
    <x v="7"/>
    <x v="16"/>
    <x v="5"/>
    <n v="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064CB12-3B85-4CD2-B867-A0873E713C4E}" name="PivotTable4" cacheId="7"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gridDropZones="1" multipleFieldFilters="0" fieldListSortAscending="1">
  <location ref="E168:AR174" firstHeaderRow="1" firstDataRow="2" firstDataCol="3"/>
  <pivotFields count="7">
    <pivotField axis="axisRow" compact="0" outline="0" showAll="0" defaultSubtotal="0">
      <items count="4">
        <item x="0"/>
        <item h="1" x="3"/>
        <item h="1" x="1"/>
        <item h="1" x="2"/>
      </items>
    </pivotField>
    <pivotField compact="0" outline="0" showAll="0">
      <items count="29">
        <item x="0"/>
        <item x="7"/>
        <item x="1"/>
        <item x="8"/>
        <item x="9"/>
        <item x="10"/>
        <item x="2"/>
        <item x="11"/>
        <item x="12"/>
        <item x="13"/>
        <item x="14"/>
        <item x="15"/>
        <item x="16"/>
        <item x="4"/>
        <item x="17"/>
        <item x="18"/>
        <item x="19"/>
        <item x="20"/>
        <item x="21"/>
        <item x="22"/>
        <item x="23"/>
        <item x="24"/>
        <item h="1" x="25"/>
        <item x="5"/>
        <item x="26"/>
        <item h="1" x="6"/>
        <item h="1" x="27"/>
        <item h="1" x="3"/>
        <item t="default"/>
      </items>
    </pivotField>
    <pivotField axis="axisCol" compact="0" outline="0" showAl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t="default"/>
      </items>
    </pivotField>
    <pivotField dataField="1" compact="0" outline="0" showAll="0"/>
    <pivotField compact="0" outline="0" showAll="0"/>
    <pivotField axis="axisRow" compact="0" outline="0" showAll="0" defaultSubtotal="0">
      <items count="5">
        <item x="4"/>
        <item x="0"/>
        <item x="3"/>
        <item x="1"/>
        <item x="2"/>
      </items>
    </pivotField>
    <pivotField axis="axisRow" compact="0" outline="0" showAll="0" defaultSubtotal="0">
      <items count="25">
        <item x="3"/>
        <item x="4"/>
        <item x="0"/>
        <item x="5"/>
        <item x="6"/>
        <item x="7"/>
        <item x="1"/>
        <item n="Electricity_Off" x="20"/>
        <item x="8"/>
        <item n="Electricity_Res" x="21"/>
        <item x="2"/>
        <item x="9"/>
        <item x="10"/>
        <item x="11"/>
        <item x="12"/>
        <item x="13"/>
        <item x="14"/>
        <item x="15"/>
        <item x="16"/>
        <item h="1" x="17"/>
        <item x="19"/>
        <item x="18"/>
        <item h="1" x="22"/>
        <item n="Electricity_Res2" h="1" x="23"/>
        <item h="1" x="24"/>
      </items>
    </pivotField>
  </pivotFields>
  <rowFields count="3">
    <field x="0"/>
    <field x="5"/>
    <field x="6"/>
  </rowFields>
  <rowItems count="5">
    <i>
      <x/>
      <x v="1"/>
      <x/>
    </i>
    <i r="2">
      <x v="21"/>
    </i>
    <i r="1">
      <x v="2"/>
      <x v="10"/>
    </i>
    <i r="1">
      <x v="3"/>
      <x v="2"/>
    </i>
    <i r="1">
      <x v="4"/>
      <x v="6"/>
    </i>
  </rowItems>
  <colFields count="1">
    <field x="2"/>
  </colFields>
  <col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colItems>
  <dataFields count="1">
    <dataField name="Sum of quantity"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F387EE2-D564-406F-852D-91FA3952D376}" name="PivotTable5" cacheId="7"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gridDropZones="1" multipleFieldFilters="0" fieldListSortAscending="1">
  <location ref="E2:AR68" firstHeaderRow="1" firstDataRow="2" firstDataCol="3"/>
  <pivotFields count="7">
    <pivotField axis="axisRow" compact="0" outline="0" showAll="0" defaultSubtotal="0">
      <items count="4">
        <item h="1" x="0"/>
        <item x="3"/>
        <item x="1"/>
        <item x="2"/>
      </items>
    </pivotField>
    <pivotField compact="0" outline="0" showAll="0">
      <items count="29">
        <item x="0"/>
        <item x="7"/>
        <item x="1"/>
        <item x="8"/>
        <item x="9"/>
        <item x="10"/>
        <item x="2"/>
        <item x="11"/>
        <item x="12"/>
        <item x="13"/>
        <item x="14"/>
        <item x="15"/>
        <item x="16"/>
        <item x="4"/>
        <item x="17"/>
        <item x="18"/>
        <item x="19"/>
        <item x="20"/>
        <item x="21"/>
        <item x="22"/>
        <item x="23"/>
        <item x="24"/>
        <item h="1" x="25"/>
        <item x="5"/>
        <item x="26"/>
        <item h="1" x="6"/>
        <item h="1" x="27"/>
        <item h="1" x="3"/>
        <item t="default"/>
      </items>
    </pivotField>
    <pivotField axis="axisCol" compact="0" outline="0" showAl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t="default"/>
      </items>
    </pivotField>
    <pivotField dataField="1" compact="0" outline="0" showAll="0"/>
    <pivotField compact="0" outline="0" showAll="0"/>
    <pivotField axis="axisRow" compact="0" outline="0" showAll="0">
      <items count="6">
        <item x="4"/>
        <item x="0"/>
        <item x="1"/>
        <item x="2"/>
        <item x="3"/>
        <item t="default"/>
      </items>
    </pivotField>
    <pivotField axis="axisRow" compact="0" outline="0" showAll="0" defaultSubtotal="0">
      <items count="25">
        <item x="3"/>
        <item x="4"/>
        <item x="0"/>
        <item x="5"/>
        <item x="6"/>
        <item x="7"/>
        <item x="1"/>
        <item n="Electricity_Off" x="20"/>
        <item x="8"/>
        <item n="Electricity_Res" x="21"/>
        <item x="2"/>
        <item x="9"/>
        <item x="10"/>
        <item x="11"/>
        <item x="12"/>
        <item x="13"/>
        <item x="14"/>
        <item x="15"/>
        <item x="16"/>
        <item h="1" x="17"/>
        <item x="19"/>
        <item x="18"/>
        <item h="1" x="22"/>
        <item n="Electricity_Res2" x="23"/>
        <item h="1" x="24"/>
      </items>
    </pivotField>
  </pivotFields>
  <rowFields count="3">
    <field x="0"/>
    <field x="5"/>
    <field x="6"/>
  </rowFields>
  <rowItems count="65">
    <i>
      <x v="1"/>
      <x/>
      <x v="3"/>
    </i>
    <i r="2">
      <x v="4"/>
    </i>
    <i r="2">
      <x v="5"/>
    </i>
    <i r="2">
      <x v="17"/>
    </i>
    <i r="2">
      <x v="18"/>
    </i>
    <i t="default" r="1">
      <x/>
    </i>
    <i r="1">
      <x v="1"/>
      <x/>
    </i>
    <i r="2">
      <x v="1"/>
    </i>
    <i r="2">
      <x v="2"/>
    </i>
    <i r="2">
      <x v="6"/>
    </i>
    <i r="2">
      <x v="7"/>
    </i>
    <i r="2">
      <x v="8"/>
    </i>
    <i r="2">
      <x v="11"/>
    </i>
    <i r="2">
      <x v="12"/>
    </i>
    <i r="2">
      <x v="13"/>
    </i>
    <i r="2">
      <x v="14"/>
    </i>
    <i r="2">
      <x v="15"/>
    </i>
    <i r="2">
      <x v="16"/>
    </i>
    <i r="2">
      <x v="20"/>
    </i>
    <i r="2">
      <x v="21"/>
    </i>
    <i r="2">
      <x v="23"/>
    </i>
    <i t="default" r="1">
      <x v="1"/>
    </i>
    <i>
      <x v="2"/>
      <x/>
      <x v="3"/>
    </i>
    <i r="2">
      <x v="4"/>
    </i>
    <i r="2">
      <x v="5"/>
    </i>
    <i r="2">
      <x v="17"/>
    </i>
    <i r="2">
      <x v="18"/>
    </i>
    <i t="default" r="1">
      <x/>
    </i>
    <i r="1">
      <x v="1"/>
      <x/>
    </i>
    <i r="2">
      <x v="1"/>
    </i>
    <i r="2">
      <x v="2"/>
    </i>
    <i r="2">
      <x v="6"/>
    </i>
    <i r="2">
      <x v="7"/>
    </i>
    <i r="2">
      <x v="8"/>
    </i>
    <i r="2">
      <x v="9"/>
    </i>
    <i r="2">
      <x v="11"/>
    </i>
    <i r="2">
      <x v="12"/>
    </i>
    <i r="2">
      <x v="13"/>
    </i>
    <i r="2">
      <x v="14"/>
    </i>
    <i r="2">
      <x v="15"/>
    </i>
    <i r="2">
      <x v="16"/>
    </i>
    <i r="2">
      <x v="20"/>
    </i>
    <i r="2">
      <x v="21"/>
    </i>
    <i t="default" r="1">
      <x v="1"/>
    </i>
    <i>
      <x v="3"/>
      <x/>
      <x v="3"/>
    </i>
    <i r="2">
      <x v="4"/>
    </i>
    <i r="2">
      <x v="5"/>
    </i>
    <i r="2">
      <x v="17"/>
    </i>
    <i r="2">
      <x v="18"/>
    </i>
    <i t="default" r="1">
      <x/>
    </i>
    <i r="1">
      <x v="1"/>
      <x/>
    </i>
    <i r="2">
      <x v="1"/>
    </i>
    <i r="2">
      <x v="2"/>
    </i>
    <i r="2">
      <x v="6"/>
    </i>
    <i r="2">
      <x v="7"/>
    </i>
    <i r="2">
      <x v="8"/>
    </i>
    <i r="2">
      <x v="11"/>
    </i>
    <i r="2">
      <x v="12"/>
    </i>
    <i r="2">
      <x v="13"/>
    </i>
    <i r="2">
      <x v="14"/>
    </i>
    <i r="2">
      <x v="15"/>
    </i>
    <i r="2">
      <x v="16"/>
    </i>
    <i r="2">
      <x v="20"/>
    </i>
    <i r="2">
      <x v="21"/>
    </i>
    <i t="default" r="1">
      <x v="1"/>
    </i>
  </rowItems>
  <colFields count="1">
    <field x="2"/>
  </colFields>
  <col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colItems>
  <dataFields count="1">
    <dataField name="Sum of quantity"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235981F-8DA6-4E81-A1A2-880F7394B6D4}" name="PivotTable6" cacheId="7"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gridDropZones="1" multipleFieldFilters="0" fieldListSortAscending="1">
  <location ref="A4:AN11" firstHeaderRow="1" firstDataRow="2" firstDataCol="3"/>
  <pivotFields count="7">
    <pivotField axis="axisRow" compact="0" outline="0" showAll="0" defaultSubtotal="0">
      <items count="4">
        <item x="0"/>
        <item h="1" x="3"/>
        <item h="1" x="1"/>
        <item h="1" x="2"/>
      </items>
    </pivotField>
    <pivotField compact="0" outline="0" showAll="0">
      <items count="29">
        <item x="0"/>
        <item x="7"/>
        <item x="1"/>
        <item x="8"/>
        <item x="9"/>
        <item x="10"/>
        <item x="2"/>
        <item x="11"/>
        <item x="12"/>
        <item x="13"/>
        <item x="14"/>
        <item x="15"/>
        <item x="16"/>
        <item x="4"/>
        <item x="17"/>
        <item x="18"/>
        <item x="19"/>
        <item x="20"/>
        <item x="21"/>
        <item x="22"/>
        <item x="23"/>
        <item x="24"/>
        <item h="1" x="25"/>
        <item x="5"/>
        <item x="26"/>
        <item h="1" x="6"/>
        <item h="1" x="27"/>
        <item h="1" x="3"/>
        <item t="default"/>
      </items>
    </pivotField>
    <pivotField axis="axisCol" compact="0" outline="0" showAl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t="default"/>
      </items>
    </pivotField>
    <pivotField dataField="1" compact="0" outline="0" showAll="0"/>
    <pivotField compact="0" outline="0" showAll="0"/>
    <pivotField axis="axisRow" compact="0" outline="0" showAll="0" defaultSubtotal="0">
      <items count="5">
        <item x="4"/>
        <item x="3"/>
        <item x="1"/>
        <item x="2"/>
        <item x="0"/>
      </items>
    </pivotField>
    <pivotField axis="axisRow" compact="0" outline="0" showAll="0" defaultSubtotal="0">
      <items count="25">
        <item x="4"/>
        <item x="0"/>
        <item x="5"/>
        <item x="6"/>
        <item x="7"/>
        <item x="1"/>
        <item n="Electricity_Off" x="20"/>
        <item x="8"/>
        <item n="Electricity_Res" x="21"/>
        <item x="2"/>
        <item x="9"/>
        <item x="10"/>
        <item x="11"/>
        <item x="12"/>
        <item x="13"/>
        <item x="14"/>
        <item x="15"/>
        <item x="16"/>
        <item h="1" x="17"/>
        <item x="19"/>
        <item x="24"/>
        <item x="18"/>
        <item h="1" x="22"/>
        <item n="Electricity_Res2" h="1" x="23"/>
        <item x="3"/>
      </items>
    </pivotField>
  </pivotFields>
  <rowFields count="3">
    <field x="0"/>
    <field x="5"/>
    <field x="6"/>
  </rowFields>
  <rowItems count="6">
    <i>
      <x/>
      <x v="1"/>
      <x v="9"/>
    </i>
    <i r="1">
      <x v="2"/>
      <x v="1"/>
    </i>
    <i r="1">
      <x v="3"/>
      <x v="5"/>
    </i>
    <i r="1">
      <x v="4"/>
      <x v="20"/>
    </i>
    <i r="2">
      <x v="21"/>
    </i>
    <i r="2">
      <x v="24"/>
    </i>
  </rowItems>
  <colFields count="1">
    <field x="2"/>
  </colFields>
  <col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colItems>
  <dataFields count="1">
    <dataField name="Sum of quantity"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04B7840-9C80-4876-B97E-397C2D8AA826}" name="PivotTable10" cacheId="6" applyNumberFormats="0" applyBorderFormats="0" applyFontFormats="0" applyPatternFormats="0" applyAlignmentFormats="0" applyWidthHeightFormats="1" dataCaption="Values" updatedVersion="8" minRefreshableVersion="3" colGrandTotals="0" itemPrintTitles="1" createdVersion="8" indent="0" compact="0" compactData="0" gridDropZones="1" multipleFieldFilters="0" fieldListSortAscending="1">
  <location ref="A113:E128" firstHeaderRow="2" firstDataRow="2" firstDataCol="4" rowPageCount="2" colPageCount="1"/>
  <pivotFields count="8">
    <pivotField axis="axisPage" compact="0" outline="0" showAll="0">
      <items count="8">
        <item x="0"/>
        <item x="1"/>
        <item x="2"/>
        <item x="3"/>
        <item x="4"/>
        <item x="5"/>
        <item x="6"/>
        <item t="default"/>
      </items>
    </pivotField>
    <pivotField axis="axisRow" compact="0" outline="0" showAll="0" defaultSubtotal="0">
      <items count="187">
        <item m="1" x="140"/>
        <item m="1" x="180"/>
        <item m="1" x="100"/>
        <item m="1" x="143"/>
        <item m="1" x="128"/>
        <item m="1" x="181"/>
        <item m="1" x="125"/>
        <item m="1" x="176"/>
        <item m="1" x="163"/>
        <item m="1" x="110"/>
        <item m="1" x="162"/>
        <item m="1" x="178"/>
        <item m="1" x="168"/>
        <item m="1" x="155"/>
        <item m="1" x="159"/>
        <item m="1" x="112"/>
        <item m="1" x="137"/>
        <item m="1" x="158"/>
        <item m="1" x="151"/>
        <item m="1" x="138"/>
        <item m="1" x="182"/>
        <item m="1" x="116"/>
        <item m="1" x="148"/>
        <item m="1" x="122"/>
        <item m="1" x="172"/>
        <item m="1" x="166"/>
        <item m="1" x="126"/>
        <item m="1" x="101"/>
        <item m="1" x="130"/>
        <item m="1" x="105"/>
        <item m="1" x="149"/>
        <item m="1" x="141"/>
        <item m="1" x="161"/>
        <item m="1" x="133"/>
        <item m="1" x="113"/>
        <item m="1" x="171"/>
        <item m="1" x="153"/>
        <item m="1" x="117"/>
        <item m="1" x="175"/>
        <item m="1" x="103"/>
        <item m="1" x="142"/>
        <item m="1" x="146"/>
        <item m="1" x="106"/>
        <item m="1" x="114"/>
        <item m="1" x="119"/>
        <item m="1" x="154"/>
        <item m="1" x="121"/>
        <item m="1" x="184"/>
        <item m="1" x="170"/>
        <item m="1" x="147"/>
        <item m="1" x="118"/>
        <item m="1" x="157"/>
        <item m="1" x="124"/>
        <item m="1" x="102"/>
        <item m="1" x="131"/>
        <item m="1" x="145"/>
        <item m="1" x="115"/>
        <item m="1" x="174"/>
        <item m="1" x="156"/>
        <item m="1" x="160"/>
        <item m="1" x="111"/>
        <item m="1" x="150"/>
        <item m="1" x="120"/>
        <item m="1" x="179"/>
        <item m="1" x="183"/>
        <item m="1" x="167"/>
        <item m="1" x="169"/>
        <item m="1" x="104"/>
        <item m="1" x="107"/>
        <item m="1" x="129"/>
        <item m="1" x="186"/>
        <item m="1" x="173"/>
        <item m="1" x="177"/>
        <item m="1" x="152"/>
        <item m="1" x="136"/>
        <item m="1" x="132"/>
        <item m="1" x="164"/>
        <item m="1" x="123"/>
        <item m="1" x="139"/>
        <item m="1" x="185"/>
        <item m="1" x="134"/>
        <item m="1" x="108"/>
        <item m="1" x="109"/>
        <item m="1" x="135"/>
        <item m="1" x="144"/>
        <item m="1" x="127"/>
        <item m="1" x="1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s>
    </pivotField>
    <pivotField compact="0" outline="0" showAll="0"/>
    <pivotField axis="axisRow" compact="0" outline="0" showAll="0">
      <items count="180">
        <item x="16"/>
        <item x="44"/>
        <item x="20"/>
        <item x="83"/>
        <item x="15"/>
        <item x="108"/>
        <item x="88"/>
        <item x="23"/>
        <item x="68"/>
        <item x="41"/>
        <item x="27"/>
        <item x="76"/>
        <item x="4"/>
        <item x="57"/>
        <item x="5"/>
        <item x="94"/>
        <item x="2"/>
        <item x="24"/>
        <item x="103"/>
        <item x="47"/>
        <item x="35"/>
        <item x="50"/>
        <item x="9"/>
        <item x="104"/>
        <item x="98"/>
        <item x="19"/>
        <item x="10"/>
        <item x="91"/>
        <item x="71"/>
        <item x="38"/>
        <item x="85"/>
        <item x="111"/>
        <item x="59"/>
        <item x="13"/>
        <item x="65"/>
        <item x="34"/>
        <item x="39"/>
        <item x="77"/>
        <item x="45"/>
        <item x="8"/>
        <item x="64"/>
        <item x="12"/>
        <item x="102"/>
        <item x="69"/>
        <item x="37"/>
        <item x="17"/>
        <item x="107"/>
        <item x="84"/>
        <item x="49"/>
        <item x="3"/>
        <item x="101"/>
        <item x="79"/>
        <item x="96"/>
        <item x="30"/>
        <item x="97"/>
        <item x="56"/>
        <item x="63"/>
        <item x="66"/>
        <item x="109"/>
        <item x="54"/>
        <item x="25"/>
        <item x="62"/>
        <item x="46"/>
        <item x="112"/>
        <item x="31"/>
        <item x="36"/>
        <item x="105"/>
        <item x="72"/>
        <item x="28"/>
        <item x="82"/>
        <item x="0"/>
        <item x="95"/>
        <item x="74"/>
        <item x="53"/>
        <item x="110"/>
        <item x="80"/>
        <item x="7"/>
        <item x="73"/>
        <item x="78"/>
        <item x="14"/>
        <item x="40"/>
        <item x="93"/>
        <item x="89"/>
        <item x="90"/>
        <item x="87"/>
        <item x="61"/>
        <item x="99"/>
        <item x="1"/>
        <item x="92"/>
        <item x="106"/>
        <item x="21"/>
        <item x="52"/>
        <item x="58"/>
        <item x="11"/>
        <item x="18"/>
        <item x="75"/>
        <item x="86"/>
        <item x="70"/>
        <item x="51"/>
        <item x="22"/>
        <item x="33"/>
        <item x="6"/>
        <item x="55"/>
        <item x="29"/>
        <item x="60"/>
        <item x="81"/>
        <item x="48"/>
        <item x="32"/>
        <item x="67"/>
        <item x="42"/>
        <item x="43"/>
        <item x="26"/>
        <item x="100"/>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t="default"/>
      </items>
    </pivotField>
    <pivotField axis="axisRow" compact="0" outline="0" showAll="0" defaultSubtotal="0">
      <items count="45">
        <item m="1" x="39"/>
        <item x="14"/>
        <item x="6"/>
        <item m="1" x="42"/>
        <item x="5"/>
        <item x="7"/>
        <item x="15"/>
        <item m="1" x="44"/>
        <item x="13"/>
        <item x="4"/>
        <item x="24"/>
        <item x="18"/>
        <item x="9"/>
        <item x="20"/>
        <item m="1" x="37"/>
        <item x="19"/>
        <item x="27"/>
        <item x="2"/>
        <item x="12"/>
        <item x="28"/>
        <item x="16"/>
        <item x="0"/>
        <item x="29"/>
        <item x="21"/>
        <item x="17"/>
        <item m="1" x="43"/>
        <item x="3"/>
        <item x="26"/>
        <item m="1" x="35"/>
        <item m="1" x="36"/>
        <item m="1" x="38"/>
        <item x="10"/>
        <item x="11"/>
        <item m="1" x="41"/>
        <item x="23"/>
        <item x="22"/>
        <item m="1" x="40"/>
        <item x="30"/>
        <item x="1"/>
        <item x="25"/>
        <item x="8"/>
        <item m="1" x="34"/>
        <item x="31"/>
        <item x="32"/>
        <item x="33"/>
      </items>
    </pivotField>
    <pivotField axis="axisPage" compact="0" outline="0" showAll="0">
      <items count="20">
        <item x="1"/>
        <item m="1" x="14"/>
        <item x="4"/>
        <item m="1" x="15"/>
        <item m="1" x="11"/>
        <item m="1" x="12"/>
        <item x="0"/>
        <item m="1" x="13"/>
        <item m="1" x="17"/>
        <item x="5"/>
        <item x="3"/>
        <item x="2"/>
        <item m="1" x="16"/>
        <item m="1" x="18"/>
        <item x="6"/>
        <item x="7"/>
        <item x="8"/>
        <item x="9"/>
        <item x="10"/>
        <item t="default"/>
      </items>
    </pivotField>
    <pivotField axis="axisRow" compact="0" outline="0" showAll="0" sortType="ascending" defaultSubtotal="0">
      <items count="332">
        <item x="183"/>
        <item x="245"/>
        <item x="182"/>
        <item x="243"/>
        <item x="184"/>
        <item x="224"/>
        <item x="242"/>
        <item x="225"/>
        <item x="246"/>
        <item x="220"/>
        <item x="180"/>
        <item x="223"/>
        <item x="221"/>
        <item x="247"/>
        <item x="135"/>
        <item x="181"/>
        <item x="301"/>
        <item x="259"/>
        <item x="253"/>
        <item x="265"/>
        <item x="61"/>
        <item x="144"/>
        <item x="60"/>
        <item x="10"/>
        <item x="101"/>
        <item x="315"/>
        <item x="213"/>
        <item x="262"/>
        <item x="276"/>
        <item x="297"/>
        <item x="294"/>
        <item x="241"/>
        <item x="231"/>
        <item x="122"/>
        <item x="71"/>
        <item x="271"/>
        <item x="263"/>
        <item x="279"/>
        <item x="287"/>
        <item x="58"/>
        <item x="80"/>
        <item x="251"/>
        <item x="327"/>
        <item x="323"/>
        <item x="90"/>
        <item x="196"/>
        <item x="20"/>
        <item x="313"/>
        <item x="308"/>
        <item x="1"/>
        <item x="172"/>
        <item x="311"/>
        <item x="215"/>
        <item x="238"/>
        <item x="302"/>
        <item x="106"/>
        <item x="249"/>
        <item x="229"/>
        <item x="8"/>
        <item x="79"/>
        <item x="171"/>
        <item x="173"/>
        <item x="96"/>
        <item m="1" x="331"/>
        <item x="105"/>
        <item x="147"/>
        <item x="295"/>
        <item x="239"/>
        <item x="78"/>
        <item x="227"/>
        <item x="234"/>
        <item x="291"/>
        <item x="321"/>
        <item x="126"/>
        <item x="228"/>
        <item x="125"/>
        <item x="18"/>
        <item x="23"/>
        <item x="141"/>
        <item x="274"/>
        <item x="248"/>
        <item x="192"/>
        <item x="318"/>
        <item x="190"/>
        <item x="176"/>
        <item x="92"/>
        <item x="72"/>
        <item x="123"/>
        <item x="232"/>
        <item x="230"/>
        <item x="146"/>
        <item x="65"/>
        <item x="187"/>
        <item x="136"/>
        <item x="98"/>
        <item x="152"/>
        <item x="199"/>
        <item x="45"/>
        <item x="132"/>
        <item x="88"/>
        <item x="143"/>
        <item x="210"/>
        <item x="127"/>
        <item x="91"/>
        <item x="306"/>
        <item x="70"/>
        <item x="95"/>
        <item x="252"/>
        <item x="258"/>
        <item x="324"/>
        <item x="216"/>
        <item x="319"/>
        <item x="303"/>
        <item x="314"/>
        <item x="218"/>
        <item x="168"/>
        <item x="322"/>
        <item x="273"/>
        <item x="62"/>
        <item x="186"/>
        <item x="9"/>
        <item x="193"/>
        <item x="267"/>
        <item x="292"/>
        <item m="1" x="330"/>
        <item x="145"/>
        <item x="68"/>
        <item x="69"/>
        <item x="166"/>
        <item x="118"/>
        <item sd="0" x="188"/>
        <item x="219"/>
        <item x="189"/>
        <item x="244"/>
        <item x="233"/>
        <item x="102"/>
        <item x="139"/>
        <item x="285"/>
        <item x="67"/>
        <item x="117"/>
        <item x="124"/>
        <item x="131"/>
        <item x="275"/>
        <item x="81"/>
        <item x="119"/>
        <item x="175"/>
        <item x="320"/>
        <item x="170"/>
        <item x="163"/>
        <item x="211"/>
        <item x="256"/>
        <item x="158"/>
        <item x="165"/>
        <item x="282"/>
        <item x="174"/>
        <item x="203"/>
        <item x="222"/>
        <item x="207"/>
        <item x="217"/>
        <item x="167"/>
        <item x="169"/>
        <item m="1" x="329"/>
        <item x="198"/>
        <item x="128"/>
        <item x="272"/>
        <item x="212"/>
        <item x="159"/>
        <item x="208"/>
        <item x="290"/>
        <item x="160"/>
        <item x="328"/>
        <item x="19"/>
        <item x="209"/>
        <item x="161"/>
        <item x="7"/>
        <item x="107"/>
        <item x="114"/>
        <item x="153"/>
        <item x="157"/>
        <item x="206"/>
        <item x="201"/>
        <item x="21"/>
        <item x="121"/>
        <item x="87"/>
        <item x="22"/>
        <item x="281"/>
        <item x="254"/>
        <item x="270"/>
        <item x="46"/>
        <item x="237"/>
        <item x="226"/>
        <item x="63"/>
        <item x="73"/>
        <item x="197"/>
        <item x="200"/>
        <item x="326"/>
        <item x="97"/>
        <item x="268"/>
        <item x="109"/>
        <item x="112"/>
        <item x="48"/>
        <item x="305"/>
        <item x="108"/>
        <item x="4"/>
        <item x="120"/>
        <item x="150"/>
        <item x="99"/>
        <item x="83"/>
        <item x="154"/>
        <item x="24"/>
        <item x="191"/>
        <item x="151"/>
        <item x="325"/>
        <item x="142"/>
        <item x="283"/>
        <item x="164"/>
        <item x="5"/>
        <item x="205"/>
        <item x="116"/>
        <item x="195"/>
        <item x="304"/>
        <item x="100"/>
        <item x="115"/>
        <item x="82"/>
        <item x="260"/>
        <item x="312"/>
        <item x="75"/>
        <item x="214"/>
        <item x="284"/>
        <item x="261"/>
        <item x="148"/>
        <item x="49"/>
        <item x="104"/>
        <item x="178"/>
        <item x="89"/>
        <item x="140"/>
        <item x="298"/>
        <item x="57"/>
        <item x="149"/>
        <item x="6"/>
        <item x="26"/>
        <item x="288"/>
        <item x="310"/>
        <item x="162"/>
        <item x="289"/>
        <item x="194"/>
        <item x="264"/>
        <item x="11"/>
        <item x="86"/>
        <item x="103"/>
        <item x="16"/>
        <item x="94"/>
        <item x="236"/>
        <item x="250"/>
        <item x="257"/>
        <item x="277"/>
        <item x="29"/>
        <item x="33"/>
        <item x="55"/>
        <item x="53"/>
        <item x="177"/>
        <item x="293"/>
        <item x="137"/>
        <item x="74"/>
        <item x="36"/>
        <item x="111"/>
        <item x="110"/>
        <item x="44"/>
        <item x="2"/>
        <item x="316"/>
        <item x="266"/>
        <item x="155"/>
        <item x="299"/>
        <item x="84"/>
        <item x="269"/>
        <item x="202"/>
        <item x="59"/>
        <item x="296"/>
        <item x="235"/>
        <item x="280"/>
        <item x="76"/>
        <item x="54"/>
        <item x="134"/>
        <item x="156"/>
        <item x="204"/>
        <item x="77"/>
        <item x="64"/>
        <item x="317"/>
        <item x="286"/>
        <item x="41"/>
        <item x="28"/>
        <item x="300"/>
        <item x="85"/>
        <item x="113"/>
        <item x="309"/>
        <item x="93"/>
        <item x="14"/>
        <item x="34"/>
        <item x="3"/>
        <item x="15"/>
        <item x="0"/>
        <item x="52"/>
        <item x="307"/>
        <item x="278"/>
        <item x="25"/>
        <item x="42"/>
        <item x="66"/>
        <item x="255"/>
        <item x="51"/>
        <item x="17"/>
        <item x="133"/>
        <item x="12"/>
        <item x="13"/>
        <item x="38"/>
        <item x="50"/>
        <item x="35"/>
        <item x="32"/>
        <item x="40"/>
        <item x="39"/>
        <item x="37"/>
        <item x="27"/>
        <item x="31"/>
        <item x="43"/>
        <item x="179"/>
        <item x="240"/>
        <item x="30"/>
        <item x="47"/>
        <item x="56"/>
        <item x="138"/>
        <item x="130"/>
        <item x="129"/>
        <item x="185"/>
      </items>
    </pivotField>
    <pivotField dataField="1" compact="0" outline="0" showAll="0"/>
  </pivotFields>
  <rowFields count="4">
    <field x="6"/>
    <field x="4"/>
    <field x="1"/>
    <field x="3"/>
  </rowFields>
  <rowItems count="14">
    <i>
      <x v="35"/>
      <x v="15"/>
      <x v="102"/>
      <x v="149"/>
    </i>
    <i>
      <x v="41"/>
      <x v="4"/>
      <x v="166"/>
      <x v="130"/>
    </i>
    <i>
      <x v="51"/>
      <x v="20"/>
      <x v="160"/>
      <x v="128"/>
    </i>
    <i>
      <x v="72"/>
      <x v="15"/>
      <x v="146"/>
      <x v="149"/>
    </i>
    <i>
      <x v="79"/>
      <x v="15"/>
      <x v="168"/>
      <x v="149"/>
    </i>
    <i>
      <x v="90"/>
      <x v="32"/>
      <x v="166"/>
      <x v="129"/>
    </i>
    <i>
      <x v="116"/>
      <x v="40"/>
      <x v="146"/>
      <x v="175"/>
    </i>
    <i>
      <x v="117"/>
      <x v="20"/>
      <x v="154"/>
      <x v="128"/>
    </i>
    <i>
      <x v="141"/>
      <x v="38"/>
      <x v="112"/>
      <x v="154"/>
    </i>
    <i>
      <x v="185"/>
      <x v="38"/>
      <x v="111"/>
      <x v="154"/>
    </i>
    <i>
      <x v="187"/>
      <x v="4"/>
      <x v="102"/>
      <x v="130"/>
    </i>
    <i>
      <x v="253"/>
      <x v="20"/>
      <x v="166"/>
      <x v="128"/>
    </i>
    <i>
      <x v="303"/>
      <x v="38"/>
      <x v="109"/>
      <x v="154"/>
    </i>
    <i t="grand">
      <x/>
    </i>
  </rowItems>
  <colItems count="1">
    <i/>
  </colItems>
  <pageFields count="2">
    <pageField fld="5" item="11" hier="-1"/>
    <pageField fld="0" item="6" hier="-1"/>
  </pageFields>
  <dataFields count="1">
    <dataField name="Sum of Capacity" fld="7" baseField="3" baseItem="78"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9D37197-F3A2-4D26-BB62-581143C3DE61}" name="PivotTable9" cacheId="6" applyNumberFormats="0" applyBorderFormats="0" applyFontFormats="0" applyPatternFormats="0" applyAlignmentFormats="0" applyWidthHeightFormats="1" dataCaption="Values" updatedVersion="8" minRefreshableVersion="3" colGrandTotals="0" itemPrintTitles="1" createdVersion="8" indent="0" compact="0" compactData="0" gridDropZones="1" multipleFieldFilters="0" fieldListSortAscending="1">
  <location ref="A74:E102" firstHeaderRow="2" firstDataRow="2" firstDataCol="4" rowPageCount="2" colPageCount="1"/>
  <pivotFields count="8">
    <pivotField axis="axisPage" compact="0" outline="0" showAll="0">
      <items count="8">
        <item x="0"/>
        <item x="1"/>
        <item x="2"/>
        <item x="3"/>
        <item x="4"/>
        <item x="5"/>
        <item x="6"/>
        <item t="default"/>
      </items>
    </pivotField>
    <pivotField axis="axisRow" compact="0" outline="0" showAll="0" defaultSubtotal="0">
      <items count="187">
        <item m="1" x="140"/>
        <item m="1" x="180"/>
        <item m="1" x="100"/>
        <item m="1" x="143"/>
        <item m="1" x="128"/>
        <item m="1" x="181"/>
        <item m="1" x="125"/>
        <item m="1" x="176"/>
        <item m="1" x="163"/>
        <item m="1" x="110"/>
        <item m="1" x="162"/>
        <item m="1" x="178"/>
        <item m="1" x="168"/>
        <item m="1" x="155"/>
        <item m="1" x="159"/>
        <item m="1" x="112"/>
        <item m="1" x="137"/>
        <item m="1" x="158"/>
        <item m="1" x="151"/>
        <item m="1" x="138"/>
        <item m="1" x="182"/>
        <item m="1" x="116"/>
        <item m="1" x="148"/>
        <item m="1" x="122"/>
        <item m="1" x="172"/>
        <item m="1" x="166"/>
        <item m="1" x="126"/>
        <item m="1" x="101"/>
        <item m="1" x="130"/>
        <item m="1" x="105"/>
        <item m="1" x="149"/>
        <item m="1" x="141"/>
        <item m="1" x="161"/>
        <item m="1" x="133"/>
        <item m="1" x="113"/>
        <item m="1" x="171"/>
        <item m="1" x="153"/>
        <item m="1" x="117"/>
        <item m="1" x="175"/>
        <item m="1" x="103"/>
        <item m="1" x="142"/>
        <item m="1" x="146"/>
        <item m="1" x="106"/>
        <item m="1" x="114"/>
        <item m="1" x="119"/>
        <item m="1" x="154"/>
        <item m="1" x="121"/>
        <item m="1" x="184"/>
        <item m="1" x="170"/>
        <item m="1" x="147"/>
        <item m="1" x="118"/>
        <item m="1" x="157"/>
        <item m="1" x="124"/>
        <item m="1" x="102"/>
        <item m="1" x="131"/>
        <item m="1" x="145"/>
        <item m="1" x="115"/>
        <item m="1" x="174"/>
        <item m="1" x="156"/>
        <item m="1" x="160"/>
        <item m="1" x="111"/>
        <item m="1" x="150"/>
        <item m="1" x="120"/>
        <item m="1" x="179"/>
        <item m="1" x="183"/>
        <item m="1" x="167"/>
        <item m="1" x="169"/>
        <item m="1" x="104"/>
        <item m="1" x="107"/>
        <item m="1" x="129"/>
        <item m="1" x="186"/>
        <item m="1" x="173"/>
        <item m="1" x="177"/>
        <item m="1" x="152"/>
        <item m="1" x="136"/>
        <item m="1" x="132"/>
        <item m="1" x="164"/>
        <item m="1" x="123"/>
        <item m="1" x="139"/>
        <item m="1" x="185"/>
        <item m="1" x="134"/>
        <item m="1" x="108"/>
        <item m="1" x="109"/>
        <item m="1" x="135"/>
        <item m="1" x="144"/>
        <item m="1" x="127"/>
        <item m="1" x="1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s>
    </pivotField>
    <pivotField compact="0" outline="0" showAll="0"/>
    <pivotField axis="axisRow" compact="0" outline="0" showAll="0">
      <items count="180">
        <item x="16"/>
        <item x="44"/>
        <item x="20"/>
        <item x="83"/>
        <item x="15"/>
        <item x="108"/>
        <item x="88"/>
        <item x="23"/>
        <item x="68"/>
        <item x="41"/>
        <item x="27"/>
        <item x="76"/>
        <item x="4"/>
        <item x="57"/>
        <item x="5"/>
        <item x="94"/>
        <item x="2"/>
        <item x="24"/>
        <item x="103"/>
        <item x="47"/>
        <item x="35"/>
        <item x="50"/>
        <item x="9"/>
        <item x="104"/>
        <item x="98"/>
        <item x="19"/>
        <item x="10"/>
        <item x="91"/>
        <item x="71"/>
        <item x="38"/>
        <item x="85"/>
        <item x="111"/>
        <item x="59"/>
        <item x="13"/>
        <item x="65"/>
        <item x="34"/>
        <item x="39"/>
        <item x="77"/>
        <item x="45"/>
        <item x="8"/>
        <item x="64"/>
        <item x="12"/>
        <item x="102"/>
        <item x="69"/>
        <item x="37"/>
        <item x="17"/>
        <item x="107"/>
        <item x="84"/>
        <item x="49"/>
        <item x="3"/>
        <item x="101"/>
        <item x="79"/>
        <item x="96"/>
        <item x="30"/>
        <item x="97"/>
        <item x="56"/>
        <item x="63"/>
        <item x="66"/>
        <item x="109"/>
        <item x="54"/>
        <item x="25"/>
        <item x="62"/>
        <item x="46"/>
        <item x="112"/>
        <item x="31"/>
        <item x="36"/>
        <item x="105"/>
        <item x="72"/>
        <item x="28"/>
        <item x="82"/>
        <item x="0"/>
        <item x="95"/>
        <item x="74"/>
        <item x="53"/>
        <item x="110"/>
        <item x="80"/>
        <item x="7"/>
        <item x="73"/>
        <item x="78"/>
        <item x="14"/>
        <item x="40"/>
        <item x="93"/>
        <item x="89"/>
        <item x="90"/>
        <item x="87"/>
        <item x="61"/>
        <item x="99"/>
        <item x="1"/>
        <item x="92"/>
        <item x="106"/>
        <item x="21"/>
        <item x="52"/>
        <item x="58"/>
        <item x="11"/>
        <item x="18"/>
        <item x="75"/>
        <item x="86"/>
        <item x="70"/>
        <item x="51"/>
        <item x="22"/>
        <item x="33"/>
        <item x="6"/>
        <item x="55"/>
        <item x="29"/>
        <item x="60"/>
        <item x="81"/>
        <item x="48"/>
        <item x="32"/>
        <item x="67"/>
        <item x="42"/>
        <item x="43"/>
        <item x="26"/>
        <item x="100"/>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t="default"/>
      </items>
    </pivotField>
    <pivotField axis="axisRow" compact="0" outline="0" showAll="0" defaultSubtotal="0">
      <items count="45">
        <item m="1" x="39"/>
        <item x="14"/>
        <item x="6"/>
        <item m="1" x="42"/>
        <item x="5"/>
        <item x="7"/>
        <item x="15"/>
        <item m="1" x="44"/>
        <item x="13"/>
        <item x="4"/>
        <item x="24"/>
        <item x="18"/>
        <item x="9"/>
        <item x="20"/>
        <item m="1" x="37"/>
        <item x="19"/>
        <item x="27"/>
        <item x="2"/>
        <item x="12"/>
        <item x="28"/>
        <item x="16"/>
        <item x="0"/>
        <item x="29"/>
        <item x="21"/>
        <item x="17"/>
        <item m="1" x="43"/>
        <item x="3"/>
        <item x="26"/>
        <item m="1" x="35"/>
        <item m="1" x="36"/>
        <item m="1" x="38"/>
        <item x="10"/>
        <item x="11"/>
        <item m="1" x="41"/>
        <item x="23"/>
        <item x="22"/>
        <item m="1" x="40"/>
        <item x="30"/>
        <item x="1"/>
        <item x="25"/>
        <item x="8"/>
        <item m="1" x="34"/>
        <item x="31"/>
        <item x="32"/>
        <item x="33"/>
      </items>
    </pivotField>
    <pivotField axis="axisPage" compact="0" outline="0" showAll="0">
      <items count="20">
        <item x="1"/>
        <item m="1" x="14"/>
        <item x="4"/>
        <item m="1" x="15"/>
        <item m="1" x="11"/>
        <item m="1" x="12"/>
        <item x="0"/>
        <item m="1" x="13"/>
        <item m="1" x="17"/>
        <item x="5"/>
        <item x="3"/>
        <item x="2"/>
        <item m="1" x="16"/>
        <item m="1" x="18"/>
        <item x="6"/>
        <item x="7"/>
        <item x="8"/>
        <item x="9"/>
        <item x="10"/>
        <item t="default"/>
      </items>
    </pivotField>
    <pivotField axis="axisRow" compact="0" outline="0" showAll="0" sortType="ascending" defaultSubtotal="0">
      <items count="332">
        <item x="183"/>
        <item x="245"/>
        <item x="182"/>
        <item x="243"/>
        <item x="184"/>
        <item x="224"/>
        <item x="242"/>
        <item x="225"/>
        <item x="246"/>
        <item x="220"/>
        <item x="180"/>
        <item x="223"/>
        <item x="221"/>
        <item x="247"/>
        <item x="135"/>
        <item x="181"/>
        <item x="301"/>
        <item x="259"/>
        <item x="253"/>
        <item x="265"/>
        <item x="61"/>
        <item x="144"/>
        <item x="60"/>
        <item x="10"/>
        <item x="101"/>
        <item x="315"/>
        <item x="213"/>
        <item x="262"/>
        <item x="276"/>
        <item x="297"/>
        <item x="294"/>
        <item x="241"/>
        <item x="231"/>
        <item x="122"/>
        <item x="71"/>
        <item x="271"/>
        <item x="263"/>
        <item x="279"/>
        <item x="287"/>
        <item x="58"/>
        <item x="80"/>
        <item x="251"/>
        <item x="327"/>
        <item x="323"/>
        <item x="90"/>
        <item x="196"/>
        <item x="20"/>
        <item x="313"/>
        <item x="308"/>
        <item x="1"/>
        <item x="172"/>
        <item x="311"/>
        <item x="215"/>
        <item x="238"/>
        <item x="302"/>
        <item x="106"/>
        <item x="249"/>
        <item x="229"/>
        <item x="8"/>
        <item x="79"/>
        <item x="171"/>
        <item x="173"/>
        <item x="96"/>
        <item m="1" x="331"/>
        <item x="105"/>
        <item x="147"/>
        <item x="295"/>
        <item x="239"/>
        <item x="78"/>
        <item x="227"/>
        <item x="234"/>
        <item x="291"/>
        <item x="321"/>
        <item x="126"/>
        <item x="228"/>
        <item x="125"/>
        <item x="18"/>
        <item x="23"/>
        <item x="141"/>
        <item x="274"/>
        <item x="248"/>
        <item x="192"/>
        <item x="318"/>
        <item x="190"/>
        <item x="176"/>
        <item x="92"/>
        <item x="72"/>
        <item x="123"/>
        <item x="232"/>
        <item x="230"/>
        <item x="146"/>
        <item x="65"/>
        <item x="187"/>
        <item x="136"/>
        <item x="98"/>
        <item x="152"/>
        <item x="199"/>
        <item x="45"/>
        <item x="132"/>
        <item x="88"/>
        <item x="143"/>
        <item x="210"/>
        <item x="127"/>
        <item x="91"/>
        <item x="306"/>
        <item x="70"/>
        <item x="95"/>
        <item x="252"/>
        <item x="258"/>
        <item x="324"/>
        <item x="216"/>
        <item x="319"/>
        <item x="303"/>
        <item x="314"/>
        <item x="218"/>
        <item x="168"/>
        <item x="322"/>
        <item x="273"/>
        <item x="62"/>
        <item x="186"/>
        <item x="9"/>
        <item x="193"/>
        <item x="267"/>
        <item x="292"/>
        <item m="1" x="330"/>
        <item x="145"/>
        <item x="68"/>
        <item x="69"/>
        <item x="166"/>
        <item x="118"/>
        <item x="188"/>
        <item x="219"/>
        <item x="189"/>
        <item x="244"/>
        <item x="233"/>
        <item x="102"/>
        <item x="139"/>
        <item x="285"/>
        <item x="67"/>
        <item x="117"/>
        <item x="124"/>
        <item x="131"/>
        <item x="275"/>
        <item x="81"/>
        <item x="119"/>
        <item x="175"/>
        <item x="320"/>
        <item x="170"/>
        <item x="163"/>
        <item x="211"/>
        <item x="256"/>
        <item x="158"/>
        <item x="165"/>
        <item x="282"/>
        <item x="174"/>
        <item x="203"/>
        <item x="222"/>
        <item x="207"/>
        <item x="217"/>
        <item x="167"/>
        <item x="169"/>
        <item m="1" x="329"/>
        <item x="198"/>
        <item x="128"/>
        <item x="272"/>
        <item x="212"/>
        <item x="159"/>
        <item x="208"/>
        <item x="290"/>
        <item x="160"/>
        <item x="328"/>
        <item x="19"/>
        <item x="209"/>
        <item x="161"/>
        <item x="7"/>
        <item x="107"/>
        <item x="114"/>
        <item x="153"/>
        <item x="157"/>
        <item x="206"/>
        <item x="201"/>
        <item x="21"/>
        <item x="121"/>
        <item x="87"/>
        <item x="22"/>
        <item x="281"/>
        <item x="254"/>
        <item x="270"/>
        <item x="46"/>
        <item x="237"/>
        <item x="226"/>
        <item x="63"/>
        <item x="73"/>
        <item x="197"/>
        <item x="200"/>
        <item x="326"/>
        <item x="97"/>
        <item x="268"/>
        <item x="109"/>
        <item x="112"/>
        <item x="48"/>
        <item x="305"/>
        <item x="108"/>
        <item x="4"/>
        <item x="120"/>
        <item x="150"/>
        <item x="99"/>
        <item x="83"/>
        <item x="154"/>
        <item x="24"/>
        <item x="191"/>
        <item x="151"/>
        <item x="325"/>
        <item x="142"/>
        <item x="283"/>
        <item x="164"/>
        <item x="5"/>
        <item x="205"/>
        <item x="116"/>
        <item x="195"/>
        <item x="304"/>
        <item x="100"/>
        <item x="115"/>
        <item x="82"/>
        <item x="260"/>
        <item x="312"/>
        <item x="75"/>
        <item x="214"/>
        <item x="284"/>
        <item x="261"/>
        <item x="148"/>
        <item x="49"/>
        <item x="104"/>
        <item x="178"/>
        <item x="89"/>
        <item x="140"/>
        <item x="298"/>
        <item x="57"/>
        <item x="149"/>
        <item x="6"/>
        <item x="26"/>
        <item x="288"/>
        <item x="310"/>
        <item x="162"/>
        <item x="289"/>
        <item x="194"/>
        <item x="264"/>
        <item x="11"/>
        <item x="86"/>
        <item x="103"/>
        <item x="16"/>
        <item x="94"/>
        <item x="236"/>
        <item x="250"/>
        <item x="257"/>
        <item x="277"/>
        <item x="29"/>
        <item x="33"/>
        <item x="55"/>
        <item x="53"/>
        <item x="177"/>
        <item x="293"/>
        <item x="137"/>
        <item x="74"/>
        <item x="36"/>
        <item x="111"/>
        <item x="110"/>
        <item x="44"/>
        <item x="2"/>
        <item x="316"/>
        <item x="266"/>
        <item x="155"/>
        <item x="299"/>
        <item x="84"/>
        <item x="269"/>
        <item x="202"/>
        <item x="59"/>
        <item x="296"/>
        <item x="235"/>
        <item x="280"/>
        <item x="76"/>
        <item x="54"/>
        <item x="134"/>
        <item x="156"/>
        <item x="204"/>
        <item x="77"/>
        <item x="64"/>
        <item x="317"/>
        <item x="286"/>
        <item x="41"/>
        <item x="28"/>
        <item x="300"/>
        <item x="85"/>
        <item x="113"/>
        <item x="309"/>
        <item x="93"/>
        <item x="14"/>
        <item x="34"/>
        <item x="3"/>
        <item x="15"/>
        <item x="0"/>
        <item x="52"/>
        <item x="307"/>
        <item x="278"/>
        <item x="25"/>
        <item x="42"/>
        <item x="66"/>
        <item x="255"/>
        <item x="51"/>
        <item x="17"/>
        <item x="133"/>
        <item x="12"/>
        <item x="13"/>
        <item x="38"/>
        <item x="50"/>
        <item x="35"/>
        <item x="32"/>
        <item x="40"/>
        <item x="39"/>
        <item x="37"/>
        <item x="27"/>
        <item x="31"/>
        <item x="43"/>
        <item x="179"/>
        <item x="240"/>
        <item x="30"/>
        <item x="47"/>
        <item x="56"/>
        <item x="138"/>
        <item x="130"/>
        <item x="129"/>
        <item x="185"/>
      </items>
    </pivotField>
    <pivotField dataField="1" compact="0" outline="0" showAll="0"/>
  </pivotFields>
  <rowFields count="4">
    <field x="6"/>
    <field x="4"/>
    <field x="1"/>
    <field x="3"/>
  </rowFields>
  <rowItems count="27">
    <i>
      <x v="17"/>
      <x v="17"/>
      <x v="159"/>
      <x v="139"/>
    </i>
    <i>
      <x v="18"/>
      <x v="16"/>
      <x v="152"/>
      <x v="132"/>
    </i>
    <i>
      <x v="19"/>
      <x v="26"/>
      <x v="95"/>
      <x v="144"/>
    </i>
    <i>
      <x v="24"/>
      <x v="5"/>
      <x v="93"/>
      <x v="142"/>
    </i>
    <i>
      <x v="25"/>
      <x v="10"/>
      <x v="143"/>
      <x v="131"/>
    </i>
    <i>
      <x v="27"/>
      <x v="4"/>
      <x v="93"/>
      <x v="143"/>
    </i>
    <i>
      <x v="28"/>
      <x v="17"/>
      <x v="106"/>
      <x v="139"/>
    </i>
    <i>
      <x v="29"/>
      <x v="26"/>
      <x v="179"/>
      <x v="144"/>
    </i>
    <i>
      <x v="36"/>
      <x v="44"/>
      <x v="93"/>
      <x v="138"/>
    </i>
    <i>
      <x v="42"/>
      <x v="8"/>
      <x v="149"/>
      <x v="170"/>
    </i>
    <i>
      <x v="44"/>
      <x v="43"/>
      <x v="186"/>
      <x v="125"/>
    </i>
    <i>
      <x v="47"/>
      <x v="24"/>
      <x v="139"/>
      <x v="169"/>
    </i>
    <i>
      <x v="54"/>
      <x v="1"/>
      <x v="179"/>
      <x v="166"/>
    </i>
    <i>
      <x v="56"/>
      <x v="18"/>
      <x v="186"/>
      <x v="127"/>
    </i>
    <i>
      <x v="87"/>
      <x v="8"/>
      <x v="104"/>
      <x v="151"/>
    </i>
    <i>
      <x v="107"/>
      <x v="10"/>
      <x v="152"/>
      <x v="131"/>
    </i>
    <i>
      <x v="108"/>
      <x v="44"/>
      <x v="159"/>
      <x v="138"/>
    </i>
    <i>
      <x v="112"/>
      <x v="17"/>
      <x v="127"/>
      <x v="139"/>
    </i>
    <i>
      <x v="113"/>
      <x v="8"/>
      <x v="143"/>
      <x v="170"/>
    </i>
    <i>
      <x v="142"/>
      <x v="5"/>
      <x v="105"/>
      <x v="152"/>
    </i>
    <i>
      <x v="164"/>
      <x v="38"/>
      <x v="104"/>
      <x v="150"/>
    </i>
    <i>
      <x v="170"/>
      <x v="17"/>
      <x v="150"/>
      <x v="139"/>
    </i>
    <i>
      <x v="216"/>
      <x v="38"/>
      <x v="139"/>
      <x v="150"/>
    </i>
    <i>
      <x v="220"/>
      <x v="5"/>
      <x v="129"/>
      <x v="152"/>
    </i>
    <i>
      <x v="229"/>
      <x v="8"/>
      <x v="93"/>
      <x v="141"/>
    </i>
    <i>
      <x v="234"/>
      <x v="18"/>
      <x v="186"/>
      <x v="124"/>
    </i>
    <i t="grand">
      <x/>
    </i>
  </rowItems>
  <colItems count="1">
    <i/>
  </colItems>
  <pageFields count="2">
    <pageField fld="5" item="0" hier="-1"/>
    <pageField fld="0" item="6" hier="-1"/>
  </pageFields>
  <dataFields count="1">
    <dataField name="Sum of Capacity" fld="7" baseField="3" baseItem="78"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3D6EF72-22E4-459A-887C-1DA8076C348D}" name="PivotTable8" cacheId="6" applyNumberFormats="0" applyBorderFormats="0" applyFontFormats="0" applyPatternFormats="0" applyAlignmentFormats="0" applyWidthHeightFormats="1" dataCaption="Values" updatedVersion="8" minRefreshableVersion="3" colGrandTotals="0" itemPrintTitles="1" createdVersion="8" indent="0" compact="0" compactData="0" gridDropZones="1" multipleFieldFilters="0" fieldListSortAscending="1">
  <location ref="A4:E58" firstHeaderRow="2" firstDataRow="2" firstDataCol="4" rowPageCount="2" colPageCount="1"/>
  <pivotFields count="8">
    <pivotField axis="axisPage" compact="0" outline="0" showAll="0">
      <items count="8">
        <item x="0"/>
        <item x="1"/>
        <item x="2"/>
        <item x="3"/>
        <item x="4"/>
        <item x="5"/>
        <item x="6"/>
        <item t="default"/>
      </items>
    </pivotField>
    <pivotField axis="axisRow" compact="0" outline="0" showAll="0" defaultSubtotal="0">
      <items count="187">
        <item m="1" x="140"/>
        <item m="1" x="180"/>
        <item m="1" x="100"/>
        <item m="1" x="143"/>
        <item m="1" x="128"/>
        <item m="1" x="181"/>
        <item m="1" x="125"/>
        <item m="1" x="176"/>
        <item m="1" x="163"/>
        <item m="1" x="110"/>
        <item m="1" x="162"/>
        <item m="1" x="178"/>
        <item m="1" x="168"/>
        <item m="1" x="155"/>
        <item m="1" x="159"/>
        <item m="1" x="112"/>
        <item m="1" x="137"/>
        <item m="1" x="158"/>
        <item m="1" x="151"/>
        <item m="1" x="138"/>
        <item m="1" x="182"/>
        <item m="1" x="116"/>
        <item m="1" x="148"/>
        <item m="1" x="122"/>
        <item m="1" x="172"/>
        <item m="1" x="166"/>
        <item m="1" x="126"/>
        <item m="1" x="101"/>
        <item m="1" x="130"/>
        <item m="1" x="105"/>
        <item m="1" x="149"/>
        <item m="1" x="141"/>
        <item m="1" x="161"/>
        <item m="1" x="133"/>
        <item m="1" x="113"/>
        <item m="1" x="171"/>
        <item m="1" x="153"/>
        <item m="1" x="117"/>
        <item m="1" x="175"/>
        <item m="1" x="103"/>
        <item m="1" x="142"/>
        <item m="1" x="146"/>
        <item m="1" x="106"/>
        <item m="1" x="114"/>
        <item m="1" x="119"/>
        <item m="1" x="154"/>
        <item m="1" x="121"/>
        <item m="1" x="184"/>
        <item m="1" x="170"/>
        <item m="1" x="147"/>
        <item m="1" x="118"/>
        <item m="1" x="157"/>
        <item m="1" x="124"/>
        <item m="1" x="102"/>
        <item m="1" x="131"/>
        <item m="1" x="145"/>
        <item m="1" x="115"/>
        <item m="1" x="174"/>
        <item m="1" x="156"/>
        <item m="1" x="160"/>
        <item m="1" x="111"/>
        <item m="1" x="150"/>
        <item m="1" x="120"/>
        <item m="1" x="179"/>
        <item m="1" x="183"/>
        <item m="1" x="167"/>
        <item m="1" x="169"/>
        <item m="1" x="104"/>
        <item m="1" x="107"/>
        <item m="1" x="129"/>
        <item m="1" x="186"/>
        <item m="1" x="173"/>
        <item m="1" x="177"/>
        <item m="1" x="152"/>
        <item m="1" x="136"/>
        <item m="1" x="132"/>
        <item m="1" x="164"/>
        <item m="1" x="123"/>
        <item m="1" x="139"/>
        <item m="1" x="185"/>
        <item m="1" x="134"/>
        <item m="1" x="108"/>
        <item m="1" x="109"/>
        <item m="1" x="135"/>
        <item m="1" x="144"/>
        <item m="1" x="127"/>
        <item m="1" x="1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s>
    </pivotField>
    <pivotField compact="0" outline="0" showAll="0"/>
    <pivotField axis="axisRow" compact="0" outline="0" showAll="0">
      <items count="180">
        <item x="16"/>
        <item x="44"/>
        <item x="20"/>
        <item x="83"/>
        <item x="15"/>
        <item x="108"/>
        <item x="88"/>
        <item x="23"/>
        <item x="68"/>
        <item x="41"/>
        <item x="27"/>
        <item x="76"/>
        <item x="4"/>
        <item x="57"/>
        <item x="5"/>
        <item x="94"/>
        <item x="2"/>
        <item x="24"/>
        <item x="103"/>
        <item x="47"/>
        <item x="35"/>
        <item x="50"/>
        <item x="9"/>
        <item x="104"/>
        <item x="98"/>
        <item x="19"/>
        <item x="10"/>
        <item x="91"/>
        <item x="71"/>
        <item x="38"/>
        <item x="85"/>
        <item x="111"/>
        <item x="59"/>
        <item x="13"/>
        <item x="65"/>
        <item x="34"/>
        <item x="39"/>
        <item x="77"/>
        <item x="45"/>
        <item x="8"/>
        <item x="64"/>
        <item x="12"/>
        <item x="102"/>
        <item x="69"/>
        <item x="37"/>
        <item x="17"/>
        <item x="107"/>
        <item x="84"/>
        <item x="49"/>
        <item x="3"/>
        <item x="101"/>
        <item x="79"/>
        <item x="96"/>
        <item x="30"/>
        <item x="97"/>
        <item x="56"/>
        <item x="63"/>
        <item x="66"/>
        <item x="109"/>
        <item x="54"/>
        <item x="25"/>
        <item x="62"/>
        <item x="46"/>
        <item x="112"/>
        <item x="31"/>
        <item x="36"/>
        <item x="105"/>
        <item x="72"/>
        <item x="28"/>
        <item x="82"/>
        <item x="0"/>
        <item x="95"/>
        <item x="74"/>
        <item x="53"/>
        <item x="110"/>
        <item x="80"/>
        <item x="7"/>
        <item x="73"/>
        <item x="78"/>
        <item x="14"/>
        <item x="40"/>
        <item x="93"/>
        <item x="89"/>
        <item x="90"/>
        <item x="87"/>
        <item x="61"/>
        <item x="99"/>
        <item x="1"/>
        <item x="92"/>
        <item x="106"/>
        <item x="21"/>
        <item x="52"/>
        <item x="58"/>
        <item x="11"/>
        <item x="18"/>
        <item x="75"/>
        <item x="86"/>
        <item x="70"/>
        <item x="51"/>
        <item x="22"/>
        <item x="33"/>
        <item x="6"/>
        <item x="55"/>
        <item x="29"/>
        <item x="60"/>
        <item x="81"/>
        <item x="48"/>
        <item x="32"/>
        <item x="67"/>
        <item x="42"/>
        <item x="43"/>
        <item x="26"/>
        <item x="100"/>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t="default"/>
      </items>
    </pivotField>
    <pivotField axis="axisRow" compact="0" outline="0" showAll="0" defaultSubtotal="0">
      <items count="45">
        <item m="1" x="39"/>
        <item x="14"/>
        <item x="6"/>
        <item m="1" x="42"/>
        <item x="5"/>
        <item x="7"/>
        <item x="15"/>
        <item m="1" x="44"/>
        <item x="13"/>
        <item x="4"/>
        <item x="24"/>
        <item x="18"/>
        <item x="9"/>
        <item x="20"/>
        <item m="1" x="37"/>
        <item x="19"/>
        <item x="27"/>
        <item x="2"/>
        <item x="12"/>
        <item x="28"/>
        <item x="16"/>
        <item x="0"/>
        <item x="29"/>
        <item x="21"/>
        <item x="17"/>
        <item m="1" x="43"/>
        <item x="3"/>
        <item x="26"/>
        <item m="1" x="35"/>
        <item m="1" x="36"/>
        <item m="1" x="38"/>
        <item x="10"/>
        <item x="11"/>
        <item m="1" x="41"/>
        <item x="23"/>
        <item x="22"/>
        <item m="1" x="40"/>
        <item x="30"/>
        <item x="1"/>
        <item x="25"/>
        <item x="8"/>
        <item m="1" x="34"/>
        <item x="31"/>
        <item x="32"/>
        <item x="33"/>
      </items>
    </pivotField>
    <pivotField axis="axisPage" compact="0" outline="0" showAll="0">
      <items count="20">
        <item x="1"/>
        <item m="1" x="14"/>
        <item x="4"/>
        <item m="1" x="15"/>
        <item m="1" x="11"/>
        <item m="1" x="12"/>
        <item x="0"/>
        <item m="1" x="13"/>
        <item m="1" x="17"/>
        <item x="5"/>
        <item x="3"/>
        <item x="2"/>
        <item m="1" x="16"/>
        <item m="1" x="18"/>
        <item x="6"/>
        <item x="7"/>
        <item x="8"/>
        <item x="9"/>
        <item x="10"/>
        <item t="default"/>
      </items>
    </pivotField>
    <pivotField axis="axisRow" compact="0" outline="0" showAll="0" sortType="ascending" defaultSubtotal="0">
      <items count="332">
        <item x="183"/>
        <item x="245"/>
        <item x="182"/>
        <item x="243"/>
        <item x="184"/>
        <item x="224"/>
        <item x="242"/>
        <item x="225"/>
        <item x="246"/>
        <item x="220"/>
        <item x="180"/>
        <item x="223"/>
        <item x="221"/>
        <item x="247"/>
        <item x="135"/>
        <item x="181"/>
        <item x="301"/>
        <item x="259"/>
        <item x="253"/>
        <item x="265"/>
        <item x="61"/>
        <item x="144"/>
        <item x="60"/>
        <item x="10"/>
        <item x="101"/>
        <item x="315"/>
        <item x="213"/>
        <item x="262"/>
        <item x="276"/>
        <item x="297"/>
        <item x="294"/>
        <item x="241"/>
        <item x="231"/>
        <item x="122"/>
        <item x="71"/>
        <item x="271"/>
        <item x="263"/>
        <item x="279"/>
        <item x="287"/>
        <item x="58"/>
        <item x="80"/>
        <item x="251"/>
        <item x="327"/>
        <item x="323"/>
        <item x="90"/>
        <item x="196"/>
        <item x="20"/>
        <item x="313"/>
        <item x="308"/>
        <item x="1"/>
        <item x="172"/>
        <item x="311"/>
        <item x="215"/>
        <item x="238"/>
        <item x="302"/>
        <item x="106"/>
        <item x="249"/>
        <item x="229"/>
        <item x="8"/>
        <item x="79"/>
        <item x="171"/>
        <item x="173"/>
        <item x="96"/>
        <item m="1" x="331"/>
        <item x="105"/>
        <item x="147"/>
        <item x="295"/>
        <item x="239"/>
        <item x="78"/>
        <item x="227"/>
        <item x="234"/>
        <item x="291"/>
        <item x="321"/>
        <item x="126"/>
        <item x="228"/>
        <item x="125"/>
        <item x="18"/>
        <item x="23"/>
        <item x="141"/>
        <item x="274"/>
        <item x="248"/>
        <item x="192"/>
        <item x="318"/>
        <item x="190"/>
        <item x="176"/>
        <item x="92"/>
        <item x="72"/>
        <item x="123"/>
        <item x="232"/>
        <item x="230"/>
        <item x="146"/>
        <item x="65"/>
        <item x="187"/>
        <item x="136"/>
        <item x="98"/>
        <item x="152"/>
        <item x="199"/>
        <item x="45"/>
        <item x="132"/>
        <item x="88"/>
        <item x="143"/>
        <item x="210"/>
        <item x="127"/>
        <item x="91"/>
        <item x="306"/>
        <item x="70"/>
        <item x="95"/>
        <item x="252"/>
        <item x="258"/>
        <item x="324"/>
        <item x="216"/>
        <item x="319"/>
        <item x="303"/>
        <item x="314"/>
        <item x="218"/>
        <item x="168"/>
        <item x="322"/>
        <item x="273"/>
        <item x="62"/>
        <item x="186"/>
        <item x="9"/>
        <item x="193"/>
        <item x="267"/>
        <item x="292"/>
        <item m="1" x="330"/>
        <item x="145"/>
        <item x="68"/>
        <item x="69"/>
        <item x="166"/>
        <item x="118"/>
        <item x="188"/>
        <item x="219"/>
        <item x="189"/>
        <item x="244"/>
        <item x="233"/>
        <item x="102"/>
        <item x="139"/>
        <item x="285"/>
        <item x="67"/>
        <item x="117"/>
        <item x="124"/>
        <item x="131"/>
        <item x="275"/>
        <item x="81"/>
        <item x="119"/>
        <item x="175"/>
        <item x="320"/>
        <item x="170"/>
        <item x="163"/>
        <item x="211"/>
        <item x="256"/>
        <item x="158"/>
        <item x="165"/>
        <item x="282"/>
        <item x="174"/>
        <item x="203"/>
        <item x="222"/>
        <item x="207"/>
        <item x="217"/>
        <item x="167"/>
        <item x="169"/>
        <item m="1" x="329"/>
        <item x="198"/>
        <item x="128"/>
        <item x="272"/>
        <item x="212"/>
        <item x="159"/>
        <item x="208"/>
        <item x="290"/>
        <item x="160"/>
        <item x="328"/>
        <item x="19"/>
        <item x="209"/>
        <item x="161"/>
        <item x="7"/>
        <item x="107"/>
        <item x="114"/>
        <item x="153"/>
        <item x="157"/>
        <item x="206"/>
        <item x="201"/>
        <item x="21"/>
        <item x="121"/>
        <item x="87"/>
        <item x="22"/>
        <item x="281"/>
        <item x="254"/>
        <item x="270"/>
        <item x="46"/>
        <item x="237"/>
        <item x="226"/>
        <item x="63"/>
        <item x="73"/>
        <item x="197"/>
        <item x="200"/>
        <item x="326"/>
        <item x="97"/>
        <item x="268"/>
        <item x="109"/>
        <item x="112"/>
        <item x="48"/>
        <item x="305"/>
        <item x="108"/>
        <item x="4"/>
        <item x="120"/>
        <item x="150"/>
        <item x="99"/>
        <item x="83"/>
        <item x="154"/>
        <item x="24"/>
        <item x="191"/>
        <item x="151"/>
        <item x="325"/>
        <item x="142"/>
        <item x="283"/>
        <item x="164"/>
        <item x="5"/>
        <item x="205"/>
        <item x="116"/>
        <item x="195"/>
        <item x="304"/>
        <item x="100"/>
        <item x="115"/>
        <item x="82"/>
        <item x="260"/>
        <item x="312"/>
        <item x="75"/>
        <item x="214"/>
        <item x="284"/>
        <item x="261"/>
        <item x="148"/>
        <item x="49"/>
        <item x="104"/>
        <item x="178"/>
        <item x="89"/>
        <item x="140"/>
        <item x="298"/>
        <item x="57"/>
        <item x="149"/>
        <item x="6"/>
        <item x="26"/>
        <item x="288"/>
        <item x="310"/>
        <item x="162"/>
        <item x="289"/>
        <item x="194"/>
        <item x="264"/>
        <item x="11"/>
        <item x="86"/>
        <item x="103"/>
        <item x="16"/>
        <item x="94"/>
        <item x="236"/>
        <item x="250"/>
        <item x="257"/>
        <item x="277"/>
        <item x="29"/>
        <item x="33"/>
        <item x="55"/>
        <item x="53"/>
        <item x="177"/>
        <item x="293"/>
        <item x="137"/>
        <item x="74"/>
        <item x="36"/>
        <item x="111"/>
        <item x="110"/>
        <item x="44"/>
        <item x="2"/>
        <item x="316"/>
        <item x="266"/>
        <item x="155"/>
        <item x="299"/>
        <item x="84"/>
        <item x="269"/>
        <item x="202"/>
        <item x="59"/>
        <item x="296"/>
        <item x="235"/>
        <item x="280"/>
        <item x="76"/>
        <item x="54"/>
        <item x="134"/>
        <item x="156"/>
        <item x="204"/>
        <item x="77"/>
        <item x="64"/>
        <item x="317"/>
        <item x="286"/>
        <item x="41"/>
        <item x="28"/>
        <item x="300"/>
        <item x="85"/>
        <item x="113"/>
        <item x="309"/>
        <item x="93"/>
        <item x="14"/>
        <item x="34"/>
        <item x="3"/>
        <item x="15"/>
        <item x="0"/>
        <item x="52"/>
        <item x="307"/>
        <item x="278"/>
        <item x="25"/>
        <item x="42"/>
        <item x="66"/>
        <item x="255"/>
        <item x="51"/>
        <item x="17"/>
        <item x="133"/>
        <item x="12"/>
        <item x="13"/>
        <item x="38"/>
        <item x="50"/>
        <item x="35"/>
        <item x="32"/>
        <item x="40"/>
        <item x="39"/>
        <item x="37"/>
        <item x="27"/>
        <item x="31"/>
        <item x="43"/>
        <item x="179"/>
        <item x="240"/>
        <item x="30"/>
        <item x="47"/>
        <item x="56"/>
        <item x="138"/>
        <item x="130"/>
        <item x="129"/>
        <item x="185"/>
      </items>
    </pivotField>
    <pivotField dataField="1" compact="0" outline="0" showAll="0"/>
  </pivotFields>
  <rowFields count="4">
    <field x="6"/>
    <field x="4"/>
    <field x="1"/>
    <field x="3"/>
  </rowFields>
  <rowItems count="53">
    <i>
      <x v="16"/>
      <x v="20"/>
      <x v="124"/>
      <x v="126"/>
    </i>
    <i>
      <x v="19"/>
      <x v="26"/>
      <x v="123"/>
      <x v="144"/>
    </i>
    <i>
      <x v="29"/>
      <x v="26"/>
      <x v="124"/>
      <x v="144"/>
    </i>
    <i>
      <x v="30"/>
      <x v="31"/>
      <x v="123"/>
      <x v="148"/>
    </i>
    <i>
      <x v="37"/>
      <x v="8"/>
      <x v="110"/>
      <x v="140"/>
    </i>
    <i>
      <x v="38"/>
      <x v="31"/>
      <x v="117"/>
      <x v="155"/>
    </i>
    <i>
      <x v="43"/>
      <x v="8"/>
      <x v="157"/>
      <x v="147"/>
    </i>
    <i>
      <x v="48"/>
      <x v="8"/>
      <x v="135"/>
      <x v="162"/>
    </i>
    <i>
      <x v="49"/>
      <x v="31"/>
      <x v="131"/>
      <x v="158"/>
    </i>
    <i>
      <x v="66"/>
      <x v="31"/>
      <x v="155"/>
      <x v="161"/>
    </i>
    <i>
      <x v="71"/>
      <x v="20"/>
      <x v="121"/>
      <x v="153"/>
    </i>
    <i>
      <x v="80"/>
      <x v="20"/>
      <x v="186"/>
      <x v="126"/>
    </i>
    <i>
      <x v="82"/>
      <x v="20"/>
      <x v="145"/>
      <x v="126"/>
    </i>
    <i>
      <x v="104"/>
      <x v="31"/>
      <x v="131"/>
      <x v="168"/>
    </i>
    <i>
      <x v="109"/>
      <x v="21"/>
      <x v="157"/>
      <x v="176"/>
    </i>
    <i>
      <x v="111"/>
      <x v="21"/>
      <x v="145"/>
      <x v="173"/>
    </i>
    <i>
      <x v="122"/>
      <x v="31"/>
      <x v="99"/>
      <x v="146"/>
    </i>
    <i>
      <x v="123"/>
      <x v="31"/>
      <x v="122"/>
      <x v="159"/>
    </i>
    <i>
      <x v="137"/>
      <x v="21"/>
      <x v="114"/>
      <x v="157"/>
    </i>
    <i>
      <x v="146"/>
      <x v="21"/>
      <x v="145"/>
      <x v="174"/>
    </i>
    <i>
      <x v="155"/>
      <x v="21"/>
      <x v="157"/>
      <x v="178"/>
    </i>
    <i>
      <x v="168"/>
      <x v="31"/>
      <x v="119"/>
      <x v="160"/>
    </i>
    <i>
      <x v="186"/>
      <x v="21"/>
      <x v="167"/>
      <x v="133"/>
    </i>
    <i>
      <x v="195"/>
      <x v="31"/>
      <x v="147"/>
      <x v="148"/>
    </i>
    <i>
      <x v="197"/>
      <x v="8"/>
      <x v="99"/>
      <x v="147"/>
    </i>
    <i>
      <x v="201"/>
      <x v="6"/>
      <x v="130"/>
      <x v="167"/>
    </i>
    <i>
      <x v="212"/>
      <x v="6"/>
      <x v="157"/>
      <x v="177"/>
    </i>
    <i>
      <x v="214"/>
      <x v="26"/>
      <x v="114"/>
      <x v="156"/>
    </i>
    <i>
      <x v="219"/>
      <x v="17"/>
      <x v="167"/>
      <x v="134"/>
    </i>
    <i>
      <x v="224"/>
      <x v="8"/>
      <x v="91"/>
      <x v="140"/>
    </i>
    <i>
      <x v="225"/>
      <x v="31"/>
      <x v="138"/>
      <x v="148"/>
    </i>
    <i>
      <x v="228"/>
      <x v="20"/>
      <x v="114"/>
      <x v="126"/>
    </i>
    <i>
      <x v="236"/>
      <x v="21"/>
      <x v="124"/>
      <x v="163"/>
    </i>
    <i>
      <x v="241"/>
      <x v="20"/>
      <x v="118"/>
      <x v="153"/>
    </i>
    <i>
      <x v="242"/>
      <x v="31"/>
      <x v="160"/>
      <x v="148"/>
    </i>
    <i>
      <x v="243"/>
      <x v="20"/>
      <x v="126"/>
      <x v="126"/>
    </i>
    <i>
      <x v="244"/>
      <x v="31"/>
      <x v="118"/>
      <x v="159"/>
    </i>
    <i>
      <x v="246"/>
      <x v="17"/>
      <x v="172"/>
      <x v="135"/>
    </i>
    <i>
      <x v="255"/>
      <x v="20"/>
      <x v="107"/>
      <x v="153"/>
    </i>
    <i>
      <x v="261"/>
      <x v="31"/>
      <x v="122"/>
      <x v="146"/>
    </i>
    <i>
      <x v="269"/>
      <x v="31"/>
      <x v="145"/>
      <x v="171"/>
    </i>
    <i>
      <x v="270"/>
      <x v="12"/>
      <x v="153"/>
      <x v="145"/>
    </i>
    <i>
      <x v="272"/>
      <x v="31"/>
      <x v="124"/>
      <x v="164"/>
    </i>
    <i>
      <x v="274"/>
      <x v="31"/>
      <x v="100"/>
      <x v="148"/>
    </i>
    <i>
      <x v="277"/>
      <x v="8"/>
      <x v="155"/>
      <x v="162"/>
    </i>
    <i>
      <x v="279"/>
      <x v="31"/>
      <x v="110"/>
      <x v="155"/>
    </i>
    <i>
      <x v="287"/>
      <x v="31"/>
      <x v="145"/>
      <x v="172"/>
    </i>
    <i>
      <x v="288"/>
      <x v="31"/>
      <x v="117"/>
      <x v="158"/>
    </i>
    <i>
      <x v="291"/>
      <x v="31"/>
      <x v="124"/>
      <x v="165"/>
    </i>
    <i>
      <x v="294"/>
      <x v="8"/>
      <x v="135"/>
      <x v="140"/>
    </i>
    <i>
      <x v="302"/>
      <x v="31"/>
      <x v="134"/>
      <x v="161"/>
    </i>
    <i>
      <x v="307"/>
      <x v="17"/>
      <x v="167"/>
      <x v="135"/>
    </i>
    <i t="grand">
      <x/>
    </i>
  </rowItems>
  <colItems count="1">
    <i/>
  </colItems>
  <pageFields count="2">
    <pageField fld="5" item="6" hier="-1"/>
    <pageField fld="0" item="6" hier="-1"/>
  </pageFields>
  <dataFields count="1">
    <dataField name="Sum of Capacity" fld="7" baseField="3" baseItem="78"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CA60670-F121-47A8-B024-1FB6553A8B93}" name="PivotTable11" cacheId="6" applyNumberFormats="0" applyBorderFormats="0" applyFontFormats="0" applyPatternFormats="0" applyAlignmentFormats="0" applyWidthHeightFormats="1" dataCaption="Values" updatedVersion="8" minRefreshableVersion="3" colGrandTotals="0" itemPrintTitles="1" createdVersion="8" indent="0" compact="0" compactData="0" gridDropZones="1" multipleFieldFilters="0" fieldListSortAscending="1">
  <location ref="A139:E146" firstHeaderRow="2" firstDataRow="2" firstDataCol="4" rowPageCount="2" colPageCount="1"/>
  <pivotFields count="8">
    <pivotField axis="axisPage" compact="0" outline="0" showAll="0">
      <items count="8">
        <item x="0"/>
        <item x="1"/>
        <item x="2"/>
        <item x="3"/>
        <item x="4"/>
        <item x="5"/>
        <item x="6"/>
        <item t="default"/>
      </items>
    </pivotField>
    <pivotField axis="axisRow" compact="0" outline="0" showAll="0" defaultSubtotal="0">
      <items count="187">
        <item m="1" x="140"/>
        <item m="1" x="180"/>
        <item m="1" x="100"/>
        <item m="1" x="143"/>
        <item m="1" x="128"/>
        <item m="1" x="181"/>
        <item m="1" x="125"/>
        <item m="1" x="176"/>
        <item m="1" x="163"/>
        <item m="1" x="110"/>
        <item m="1" x="162"/>
        <item m="1" x="178"/>
        <item m="1" x="168"/>
        <item m="1" x="155"/>
        <item m="1" x="159"/>
        <item m="1" x="112"/>
        <item m="1" x="137"/>
        <item m="1" x="158"/>
        <item m="1" x="151"/>
        <item m="1" x="138"/>
        <item m="1" x="182"/>
        <item m="1" x="116"/>
        <item m="1" x="148"/>
        <item m="1" x="122"/>
        <item m="1" x="172"/>
        <item m="1" x="166"/>
        <item m="1" x="126"/>
        <item m="1" x="101"/>
        <item m="1" x="130"/>
        <item m="1" x="105"/>
        <item m="1" x="149"/>
        <item m="1" x="141"/>
        <item m="1" x="161"/>
        <item m="1" x="133"/>
        <item m="1" x="113"/>
        <item m="1" x="171"/>
        <item m="1" x="153"/>
        <item m="1" x="117"/>
        <item m="1" x="175"/>
        <item m="1" x="103"/>
        <item m="1" x="142"/>
        <item m="1" x="146"/>
        <item m="1" x="106"/>
        <item m="1" x="114"/>
        <item m="1" x="119"/>
        <item m="1" x="154"/>
        <item m="1" x="121"/>
        <item m="1" x="184"/>
        <item m="1" x="170"/>
        <item m="1" x="147"/>
        <item m="1" x="118"/>
        <item m="1" x="157"/>
        <item m="1" x="124"/>
        <item m="1" x="102"/>
        <item m="1" x="131"/>
        <item m="1" x="145"/>
        <item m="1" x="115"/>
        <item m="1" x="174"/>
        <item m="1" x="156"/>
        <item m="1" x="160"/>
        <item m="1" x="111"/>
        <item m="1" x="150"/>
        <item m="1" x="120"/>
        <item m="1" x="179"/>
        <item m="1" x="183"/>
        <item m="1" x="167"/>
        <item m="1" x="169"/>
        <item m="1" x="104"/>
        <item m="1" x="107"/>
        <item m="1" x="129"/>
        <item m="1" x="186"/>
        <item m="1" x="173"/>
        <item m="1" x="177"/>
        <item m="1" x="152"/>
        <item m="1" x="136"/>
        <item m="1" x="132"/>
        <item m="1" x="164"/>
        <item m="1" x="123"/>
        <item m="1" x="139"/>
        <item m="1" x="185"/>
        <item m="1" x="134"/>
        <item m="1" x="108"/>
        <item m="1" x="109"/>
        <item m="1" x="135"/>
        <item m="1" x="144"/>
        <item m="1" x="127"/>
        <item m="1" x="1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s>
    </pivotField>
    <pivotField compact="0" outline="0" showAll="0"/>
    <pivotField axis="axisRow" compact="0" outline="0" showAll="0">
      <items count="180">
        <item x="16"/>
        <item x="44"/>
        <item x="20"/>
        <item x="83"/>
        <item x="15"/>
        <item x="108"/>
        <item x="88"/>
        <item x="23"/>
        <item x="68"/>
        <item x="41"/>
        <item x="27"/>
        <item x="76"/>
        <item x="4"/>
        <item x="57"/>
        <item x="5"/>
        <item x="94"/>
        <item x="2"/>
        <item x="24"/>
        <item x="103"/>
        <item x="47"/>
        <item x="35"/>
        <item x="50"/>
        <item x="9"/>
        <item x="104"/>
        <item x="98"/>
        <item x="19"/>
        <item x="10"/>
        <item x="91"/>
        <item x="71"/>
        <item x="38"/>
        <item x="85"/>
        <item x="111"/>
        <item x="59"/>
        <item x="13"/>
        <item x="65"/>
        <item x="34"/>
        <item x="39"/>
        <item x="77"/>
        <item x="45"/>
        <item x="8"/>
        <item x="64"/>
        <item x="12"/>
        <item x="102"/>
        <item x="69"/>
        <item x="37"/>
        <item x="17"/>
        <item x="107"/>
        <item x="84"/>
        <item x="49"/>
        <item x="3"/>
        <item x="101"/>
        <item x="79"/>
        <item x="96"/>
        <item x="30"/>
        <item x="97"/>
        <item x="56"/>
        <item x="63"/>
        <item x="66"/>
        <item x="109"/>
        <item x="54"/>
        <item x="25"/>
        <item x="62"/>
        <item x="46"/>
        <item x="112"/>
        <item x="31"/>
        <item x="36"/>
        <item x="105"/>
        <item x="72"/>
        <item x="28"/>
        <item x="82"/>
        <item x="0"/>
        <item x="95"/>
        <item x="74"/>
        <item x="53"/>
        <item x="110"/>
        <item x="80"/>
        <item x="7"/>
        <item x="73"/>
        <item x="78"/>
        <item x="14"/>
        <item x="40"/>
        <item x="93"/>
        <item x="89"/>
        <item x="90"/>
        <item x="87"/>
        <item x="61"/>
        <item x="99"/>
        <item x="1"/>
        <item x="92"/>
        <item x="106"/>
        <item x="21"/>
        <item x="52"/>
        <item x="58"/>
        <item x="11"/>
        <item x="18"/>
        <item x="75"/>
        <item x="86"/>
        <item x="70"/>
        <item x="51"/>
        <item x="22"/>
        <item x="33"/>
        <item x="6"/>
        <item x="55"/>
        <item x="29"/>
        <item x="60"/>
        <item x="81"/>
        <item x="48"/>
        <item x="32"/>
        <item x="67"/>
        <item x="42"/>
        <item x="43"/>
        <item x="26"/>
        <item x="100"/>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t="default"/>
      </items>
    </pivotField>
    <pivotField axis="axisRow" compact="0" outline="0" showAll="0" defaultSubtotal="0">
      <items count="45">
        <item m="1" x="39"/>
        <item x="14"/>
        <item x="6"/>
        <item m="1" x="42"/>
        <item x="5"/>
        <item x="7"/>
        <item x="15"/>
        <item m="1" x="44"/>
        <item x="13"/>
        <item x="4"/>
        <item x="24"/>
        <item x="18"/>
        <item x="9"/>
        <item x="20"/>
        <item m="1" x="37"/>
        <item x="19"/>
        <item x="27"/>
        <item x="2"/>
        <item x="12"/>
        <item x="28"/>
        <item x="16"/>
        <item x="0"/>
        <item x="29"/>
        <item x="21"/>
        <item x="17"/>
        <item m="1" x="43"/>
        <item x="3"/>
        <item x="26"/>
        <item m="1" x="35"/>
        <item m="1" x="36"/>
        <item m="1" x="38"/>
        <item x="10"/>
        <item x="11"/>
        <item m="1" x="41"/>
        <item x="23"/>
        <item x="22"/>
        <item m="1" x="40"/>
        <item x="30"/>
        <item x="1"/>
        <item x="25"/>
        <item x="8"/>
        <item m="1" x="34"/>
        <item x="31"/>
        <item x="32"/>
        <item x="33"/>
      </items>
    </pivotField>
    <pivotField axis="axisPage" compact="0" outline="0" multipleItemSelectionAllowed="1" showAll="0">
      <items count="20">
        <item h="1" x="1"/>
        <item m="1" x="14"/>
        <item x="4"/>
        <item m="1" x="15"/>
        <item m="1" x="11"/>
        <item m="1" x="12"/>
        <item h="1" x="0"/>
        <item m="1" x="13"/>
        <item m="1" x="17"/>
        <item h="1" x="5"/>
        <item h="1" x="3"/>
        <item h="1" x="2"/>
        <item m="1" x="16"/>
        <item m="1" x="18"/>
        <item h="1" x="6"/>
        <item h="1" x="7"/>
        <item h="1" x="8"/>
        <item h="1" x="9"/>
        <item x="10"/>
        <item t="default"/>
      </items>
    </pivotField>
    <pivotField axis="axisRow" compact="0" outline="0" showAll="0" sortType="ascending" defaultSubtotal="0">
      <items count="332">
        <item x="183"/>
        <item x="245"/>
        <item x="182"/>
        <item x="243"/>
        <item x="184"/>
        <item x="224"/>
        <item x="242"/>
        <item x="225"/>
        <item x="246"/>
        <item x="220"/>
        <item x="180"/>
        <item x="223"/>
        <item x="221"/>
        <item x="247"/>
        <item x="135"/>
        <item x="181"/>
        <item x="301"/>
        <item x="259"/>
        <item x="253"/>
        <item x="265"/>
        <item x="61"/>
        <item x="144"/>
        <item x="60"/>
        <item x="10"/>
        <item x="101"/>
        <item x="315"/>
        <item x="213"/>
        <item x="262"/>
        <item x="276"/>
        <item x="297"/>
        <item x="294"/>
        <item x="241"/>
        <item x="231"/>
        <item x="122"/>
        <item x="71"/>
        <item x="271"/>
        <item x="263"/>
        <item x="279"/>
        <item x="287"/>
        <item x="58"/>
        <item x="80"/>
        <item x="251"/>
        <item x="327"/>
        <item x="323"/>
        <item x="90"/>
        <item x="196"/>
        <item x="20"/>
        <item x="313"/>
        <item x="308"/>
        <item x="1"/>
        <item x="172"/>
        <item x="311"/>
        <item x="215"/>
        <item x="238"/>
        <item x="302"/>
        <item x="106"/>
        <item x="249"/>
        <item x="229"/>
        <item x="8"/>
        <item x="79"/>
        <item x="171"/>
        <item x="173"/>
        <item x="96"/>
        <item m="1" x="331"/>
        <item x="105"/>
        <item x="147"/>
        <item x="295"/>
        <item x="239"/>
        <item x="78"/>
        <item x="227"/>
        <item x="234"/>
        <item x="291"/>
        <item x="321"/>
        <item x="126"/>
        <item x="228"/>
        <item x="125"/>
        <item x="18"/>
        <item x="23"/>
        <item x="141"/>
        <item x="274"/>
        <item x="248"/>
        <item x="192"/>
        <item x="318"/>
        <item x="190"/>
        <item x="176"/>
        <item x="92"/>
        <item x="72"/>
        <item x="123"/>
        <item x="232"/>
        <item x="230"/>
        <item x="146"/>
        <item x="65"/>
        <item x="187"/>
        <item x="136"/>
        <item x="98"/>
        <item x="152"/>
        <item x="199"/>
        <item x="45"/>
        <item x="132"/>
        <item x="88"/>
        <item x="143"/>
        <item x="210"/>
        <item x="127"/>
        <item x="91"/>
        <item x="306"/>
        <item x="70"/>
        <item x="95"/>
        <item x="252"/>
        <item x="258"/>
        <item x="324"/>
        <item x="216"/>
        <item x="319"/>
        <item x="303"/>
        <item x="314"/>
        <item x="218"/>
        <item x="168"/>
        <item x="322"/>
        <item x="273"/>
        <item x="62"/>
        <item x="186"/>
        <item x="9"/>
        <item x="193"/>
        <item x="267"/>
        <item x="292"/>
        <item m="1" x="330"/>
        <item x="145"/>
        <item x="68"/>
        <item x="69"/>
        <item x="166"/>
        <item x="118"/>
        <item x="188"/>
        <item x="219"/>
        <item x="189"/>
        <item x="244"/>
        <item x="233"/>
        <item x="102"/>
        <item x="139"/>
        <item x="285"/>
        <item x="67"/>
        <item x="117"/>
        <item x="124"/>
        <item x="131"/>
        <item x="275"/>
        <item x="81"/>
        <item x="119"/>
        <item x="175"/>
        <item x="320"/>
        <item x="170"/>
        <item x="163"/>
        <item x="211"/>
        <item x="256"/>
        <item x="158"/>
        <item x="165"/>
        <item x="282"/>
        <item x="174"/>
        <item x="203"/>
        <item x="222"/>
        <item x="207"/>
        <item x="217"/>
        <item x="167"/>
        <item x="169"/>
        <item m="1" x="329"/>
        <item x="198"/>
        <item x="128"/>
        <item x="272"/>
        <item x="212"/>
        <item x="159"/>
        <item x="208"/>
        <item x="290"/>
        <item x="160"/>
        <item x="328"/>
        <item x="19"/>
        <item x="209"/>
        <item x="161"/>
        <item x="7"/>
        <item x="107"/>
        <item x="114"/>
        <item x="153"/>
        <item x="157"/>
        <item x="206"/>
        <item x="201"/>
        <item x="21"/>
        <item x="121"/>
        <item x="87"/>
        <item x="22"/>
        <item x="281"/>
        <item x="254"/>
        <item x="270"/>
        <item x="46"/>
        <item x="237"/>
        <item x="226"/>
        <item x="63"/>
        <item x="73"/>
        <item x="197"/>
        <item x="200"/>
        <item x="326"/>
        <item x="97"/>
        <item x="268"/>
        <item x="109"/>
        <item x="112"/>
        <item x="48"/>
        <item x="305"/>
        <item x="108"/>
        <item x="4"/>
        <item x="120"/>
        <item x="150"/>
        <item x="99"/>
        <item x="83"/>
        <item x="154"/>
        <item x="24"/>
        <item x="191"/>
        <item x="151"/>
        <item x="325"/>
        <item x="142"/>
        <item x="283"/>
        <item x="164"/>
        <item x="5"/>
        <item x="205"/>
        <item x="116"/>
        <item x="195"/>
        <item x="304"/>
        <item x="100"/>
        <item x="115"/>
        <item x="82"/>
        <item x="260"/>
        <item x="312"/>
        <item x="75"/>
        <item x="214"/>
        <item x="284"/>
        <item x="261"/>
        <item x="148"/>
        <item x="49"/>
        <item x="104"/>
        <item x="178"/>
        <item x="89"/>
        <item x="140"/>
        <item x="298"/>
        <item x="57"/>
        <item x="149"/>
        <item x="6"/>
        <item x="26"/>
        <item x="288"/>
        <item x="310"/>
        <item x="162"/>
        <item x="289"/>
        <item x="194"/>
        <item x="264"/>
        <item x="11"/>
        <item x="86"/>
        <item x="103"/>
        <item x="16"/>
        <item x="94"/>
        <item x="236"/>
        <item x="250"/>
        <item x="257"/>
        <item x="277"/>
        <item x="29"/>
        <item x="33"/>
        <item x="55"/>
        <item x="53"/>
        <item x="177"/>
        <item x="293"/>
        <item x="137"/>
        <item x="74"/>
        <item x="36"/>
        <item x="111"/>
        <item x="110"/>
        <item x="44"/>
        <item x="2"/>
        <item x="316"/>
        <item x="266"/>
        <item x="155"/>
        <item x="299"/>
        <item x="84"/>
        <item x="269"/>
        <item x="202"/>
        <item x="59"/>
        <item x="296"/>
        <item x="235"/>
        <item x="280"/>
        <item x="76"/>
        <item x="54"/>
        <item x="134"/>
        <item x="156"/>
        <item x="204"/>
        <item x="77"/>
        <item x="64"/>
        <item x="317"/>
        <item x="286"/>
        <item x="41"/>
        <item x="28"/>
        <item x="300"/>
        <item x="85"/>
        <item x="113"/>
        <item x="309"/>
        <item x="93"/>
        <item x="14"/>
        <item x="34"/>
        <item x="3"/>
        <item x="15"/>
        <item x="0"/>
        <item x="52"/>
        <item x="307"/>
        <item x="278"/>
        <item x="25"/>
        <item x="42"/>
        <item x="66"/>
        <item x="255"/>
        <item x="51"/>
        <item x="17"/>
        <item x="133"/>
        <item x="12"/>
        <item x="13"/>
        <item x="38"/>
        <item x="50"/>
        <item x="35"/>
        <item x="32"/>
        <item x="40"/>
        <item x="39"/>
        <item x="37"/>
        <item x="27"/>
        <item x="31"/>
        <item x="43"/>
        <item x="179"/>
        <item x="240"/>
        <item x="30"/>
        <item x="47"/>
        <item x="56"/>
        <item x="138"/>
        <item x="130"/>
        <item x="129"/>
        <item x="185"/>
      </items>
    </pivotField>
    <pivotField dataField="1" compact="0" outline="0" showAll="0"/>
  </pivotFields>
  <rowFields count="4">
    <field x="6"/>
    <field x="4"/>
    <field x="1"/>
    <field x="3"/>
  </rowFields>
  <rowItems count="6">
    <i>
      <x v="145"/>
      <x v="35"/>
      <x v="130"/>
      <x v="136"/>
    </i>
    <i>
      <x v="150"/>
      <x v="35"/>
      <x v="167"/>
      <x v="136"/>
    </i>
    <i>
      <x v="153"/>
      <x v="35"/>
      <x v="112"/>
      <x v="136"/>
    </i>
    <i r="2">
      <x v="115"/>
      <x v="136"/>
    </i>
    <i>
      <x v="254"/>
      <x v="13"/>
      <x v="167"/>
      <x v="137"/>
    </i>
    <i t="grand">
      <x/>
    </i>
  </rowItems>
  <colItems count="1">
    <i/>
  </colItems>
  <pageFields count="2">
    <pageField fld="5" hier="-1"/>
    <pageField fld="0" item="6" hier="-1"/>
  </pageFields>
  <dataFields count="1">
    <dataField name="Sum of Capacity" fld="7" baseField="3" baseItem="78"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A333278-0D30-4333-AD7C-9F5CFE223AB7}" name="PivotTable3" cacheId="8"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gridDropZones="1" multipleFieldFilters="0" fieldListSortAscending="1">
  <location ref="A3:R44" firstHeaderRow="1" firstDataRow="3" firstDataCol="2"/>
  <pivotFields count="5">
    <pivotField axis="axisCol" compact="0" outline="0" showAll="0" sortType="descending" defaultSubtotal="0">
      <items count="9">
        <item x="8"/>
        <item x="7"/>
        <item x="6"/>
        <item x="5"/>
        <item x="4"/>
        <item x="3"/>
        <item x="2"/>
        <item x="1"/>
        <item x="0"/>
      </items>
    </pivotField>
    <pivotField axis="axisCol" compact="0" outline="0" showAll="0" sortType="descending">
      <items count="10">
        <item x="8"/>
        <item x="7"/>
        <item x="6"/>
        <item x="5"/>
        <item x="4"/>
        <item x="3"/>
        <item x="2"/>
        <item x="1"/>
        <item x="0"/>
        <item t="default"/>
      </items>
    </pivotField>
    <pivotField axis="axisRow" compact="0" outline="0" showAll="0">
      <items count="20">
        <item x="11"/>
        <item x="12"/>
        <item x="8"/>
        <item x="3"/>
        <item x="0"/>
        <item x="1"/>
        <item x="4"/>
        <item x="15"/>
        <item x="5"/>
        <item x="6"/>
        <item x="7"/>
        <item x="9"/>
        <item x="10"/>
        <item x="16"/>
        <item x="13"/>
        <item x="14"/>
        <item x="17"/>
        <item x="18"/>
        <item x="2"/>
        <item t="default"/>
      </items>
    </pivotField>
    <pivotField axis="axisRow" compact="0" outline="0" showAll="0" defaultSubtotal="0">
      <items count="6">
        <item x="1"/>
        <item x="2"/>
        <item x="0"/>
        <item x="3"/>
        <item x="4"/>
        <item x="5"/>
      </items>
    </pivotField>
    <pivotField dataField="1" compact="0" outline="0" showAll="0"/>
  </pivotFields>
  <rowFields count="2">
    <field x="3"/>
    <field x="2"/>
  </rowFields>
  <rowItems count="39">
    <i>
      <x/>
      <x/>
    </i>
    <i r="1">
      <x v="1"/>
    </i>
    <i r="1">
      <x v="2"/>
    </i>
    <i r="1">
      <x v="3"/>
    </i>
    <i r="1">
      <x v="4"/>
    </i>
    <i r="1">
      <x v="6"/>
    </i>
    <i r="1">
      <x v="10"/>
    </i>
    <i r="1">
      <x v="11"/>
    </i>
    <i r="1">
      <x v="12"/>
    </i>
    <i r="1">
      <x v="13"/>
    </i>
    <i r="1">
      <x v="14"/>
    </i>
    <i r="1">
      <x v="15"/>
    </i>
    <i>
      <x v="1"/>
      <x/>
    </i>
    <i r="1">
      <x v="3"/>
    </i>
    <i r="1">
      <x v="15"/>
    </i>
    <i>
      <x v="2"/>
      <x/>
    </i>
    <i r="1">
      <x v="1"/>
    </i>
    <i r="1">
      <x v="2"/>
    </i>
    <i r="1">
      <x v="3"/>
    </i>
    <i r="1">
      <x v="4"/>
    </i>
    <i r="1">
      <x v="5"/>
    </i>
    <i r="1">
      <x v="6"/>
    </i>
    <i r="1">
      <x v="10"/>
    </i>
    <i r="1">
      <x v="11"/>
    </i>
    <i r="1">
      <x v="13"/>
    </i>
    <i r="1">
      <x v="18"/>
    </i>
    <i>
      <x v="3"/>
      <x v="7"/>
    </i>
    <i r="1">
      <x v="8"/>
    </i>
    <i r="1">
      <x v="9"/>
    </i>
    <i>
      <x v="4"/>
      <x/>
    </i>
    <i r="1">
      <x v="3"/>
    </i>
    <i r="1">
      <x v="13"/>
    </i>
    <i r="1">
      <x v="16"/>
    </i>
    <i r="1">
      <x v="17"/>
    </i>
    <i>
      <x v="5"/>
      <x v="2"/>
    </i>
    <i r="1">
      <x v="4"/>
    </i>
    <i r="1">
      <x v="5"/>
    </i>
    <i r="1">
      <x v="6"/>
    </i>
    <i r="1">
      <x v="13"/>
    </i>
  </rowItems>
  <colFields count="2">
    <field x="0"/>
    <field x="1"/>
  </colFields>
  <colItems count="16">
    <i>
      <x/>
      <x/>
    </i>
    <i r="1">
      <x v="1"/>
    </i>
    <i>
      <x v="1"/>
      <x v="1"/>
    </i>
    <i r="1">
      <x v="2"/>
    </i>
    <i>
      <x v="2"/>
      <x v="2"/>
    </i>
    <i r="1">
      <x v="3"/>
    </i>
    <i>
      <x v="3"/>
      <x v="3"/>
    </i>
    <i r="1">
      <x v="4"/>
    </i>
    <i>
      <x v="4"/>
      <x v="4"/>
    </i>
    <i r="1">
      <x v="5"/>
    </i>
    <i>
      <x v="5"/>
      <x v="5"/>
    </i>
    <i r="1">
      <x v="6"/>
    </i>
    <i>
      <x v="6"/>
      <x v="6"/>
    </i>
    <i r="1">
      <x v="7"/>
    </i>
    <i>
      <x v="7"/>
      <x v="7"/>
    </i>
    <i>
      <x v="8"/>
      <x v="8"/>
    </i>
  </colItems>
  <dataFields count="1">
    <dataField name="Sum of value" fld="4" baseField="2" baseItem="13" numFmtId="166"/>
  </dataFields>
  <formats count="52">
    <format dxfId="51">
      <pivotArea outline="0" fieldPosition="0">
        <references count="1">
          <reference field="3" count="2" selected="0">
            <x v="4"/>
            <x v="5"/>
          </reference>
        </references>
      </pivotArea>
    </format>
    <format dxfId="50">
      <pivotArea outline="0" fieldPosition="0">
        <references count="4">
          <reference field="0" count="1" selected="0">
            <x v="2"/>
          </reference>
          <reference field="1" count="1" selected="0">
            <x v="2"/>
          </reference>
          <reference field="2" count="12" selected="0">
            <x v="0"/>
            <x v="1"/>
            <x v="2"/>
            <x v="3"/>
            <x v="4"/>
            <x v="6"/>
            <x v="10"/>
            <x v="11"/>
            <x v="12"/>
            <x v="13"/>
            <x v="14"/>
            <x v="15"/>
          </reference>
          <reference field="3" count="1" selected="0">
            <x v="0"/>
          </reference>
        </references>
      </pivotArea>
    </format>
    <format dxfId="49">
      <pivotArea outline="0" fieldPosition="0">
        <references count="4">
          <reference field="0" count="1" selected="0">
            <x v="3"/>
          </reference>
          <reference field="1" count="1" selected="0">
            <x v="3"/>
          </reference>
          <reference field="2" count="12" selected="0">
            <x v="0"/>
            <x v="1"/>
            <x v="2"/>
            <x v="3"/>
            <x v="4"/>
            <x v="6"/>
            <x v="10"/>
            <x v="11"/>
            <x v="12"/>
            <x v="13"/>
            <x v="14"/>
            <x v="15"/>
          </reference>
          <reference field="3" count="1" selected="0">
            <x v="0"/>
          </reference>
        </references>
      </pivotArea>
    </format>
    <format dxfId="48">
      <pivotArea outline="0" fieldPosition="0">
        <references count="4">
          <reference field="0" count="1" selected="0">
            <x v="4"/>
          </reference>
          <reference field="1" count="1" selected="0">
            <x v="4"/>
          </reference>
          <reference field="2" count="12" selected="0">
            <x v="0"/>
            <x v="1"/>
            <x v="2"/>
            <x v="3"/>
            <x v="4"/>
            <x v="6"/>
            <x v="10"/>
            <x v="11"/>
            <x v="12"/>
            <x v="13"/>
            <x v="14"/>
            <x v="15"/>
          </reference>
          <reference field="3" count="1" selected="0">
            <x v="0"/>
          </reference>
        </references>
      </pivotArea>
    </format>
    <format dxfId="47">
      <pivotArea outline="0" fieldPosition="0">
        <references count="4">
          <reference field="0" count="1" selected="0">
            <x v="5"/>
          </reference>
          <reference field="1" count="1" selected="0">
            <x v="5"/>
          </reference>
          <reference field="2" count="12" selected="0">
            <x v="0"/>
            <x v="1"/>
            <x v="2"/>
            <x v="3"/>
            <x v="4"/>
            <x v="6"/>
            <x v="10"/>
            <x v="11"/>
            <x v="12"/>
            <x v="13"/>
            <x v="14"/>
            <x v="15"/>
          </reference>
          <reference field="3" count="1" selected="0">
            <x v="0"/>
          </reference>
        </references>
      </pivotArea>
    </format>
    <format dxfId="46">
      <pivotArea outline="0" fieldPosition="0">
        <references count="4">
          <reference field="0" count="1" selected="0">
            <x v="2"/>
          </reference>
          <reference field="1" count="1" selected="0">
            <x v="2"/>
          </reference>
          <reference field="2" count="3" selected="0">
            <x v="0"/>
            <x v="3"/>
            <x v="15"/>
          </reference>
          <reference field="3" count="1" selected="0">
            <x v="1"/>
          </reference>
        </references>
      </pivotArea>
    </format>
    <format dxfId="45">
      <pivotArea outline="0" fieldPosition="0">
        <references count="4">
          <reference field="0" count="1" selected="0">
            <x v="3"/>
          </reference>
          <reference field="1" count="1" selected="0">
            <x v="3"/>
          </reference>
          <reference field="2" count="3" selected="0">
            <x v="0"/>
            <x v="3"/>
            <x v="15"/>
          </reference>
          <reference field="3" count="1" selected="0">
            <x v="1"/>
          </reference>
        </references>
      </pivotArea>
    </format>
    <format dxfId="44">
      <pivotArea outline="0" fieldPosition="0">
        <references count="4">
          <reference field="0" count="1" selected="0">
            <x v="4"/>
          </reference>
          <reference field="1" count="1" selected="0">
            <x v="4"/>
          </reference>
          <reference field="2" count="3" selected="0">
            <x v="0"/>
            <x v="3"/>
            <x v="15"/>
          </reference>
          <reference field="3" count="1" selected="0">
            <x v="1"/>
          </reference>
        </references>
      </pivotArea>
    </format>
    <format dxfId="43">
      <pivotArea outline="0" fieldPosition="0">
        <references count="4">
          <reference field="0" count="1" selected="0">
            <x v="5"/>
          </reference>
          <reference field="1" count="1" selected="0">
            <x v="5"/>
          </reference>
          <reference field="2" count="3" selected="0">
            <x v="0"/>
            <x v="3"/>
            <x v="15"/>
          </reference>
          <reference field="3" count="1" selected="0">
            <x v="1"/>
          </reference>
        </references>
      </pivotArea>
    </format>
    <format dxfId="42">
      <pivotArea outline="0" fieldPosition="0">
        <references count="4">
          <reference field="0" count="1" selected="0">
            <x v="2"/>
          </reference>
          <reference field="1" count="1" selected="0">
            <x v="2"/>
          </reference>
          <reference field="2" count="11" selected="0">
            <x v="0"/>
            <x v="1"/>
            <x v="2"/>
            <x v="3"/>
            <x v="4"/>
            <x v="5"/>
            <x v="6"/>
            <x v="10"/>
            <x v="11"/>
            <x v="13"/>
            <x v="18"/>
          </reference>
          <reference field="3" count="1" selected="0">
            <x v="2"/>
          </reference>
        </references>
      </pivotArea>
    </format>
    <format dxfId="41">
      <pivotArea outline="0" fieldPosition="0">
        <references count="4">
          <reference field="0" count="1" selected="0">
            <x v="2"/>
          </reference>
          <reference field="1" count="1" selected="0">
            <x v="3"/>
          </reference>
          <reference field="2" count="1" selected="0">
            <x v="2"/>
          </reference>
          <reference field="3" count="1" selected="0">
            <x v="2"/>
          </reference>
        </references>
      </pivotArea>
    </format>
    <format dxfId="40">
      <pivotArea outline="0" fieldPosition="0">
        <references count="4">
          <reference field="0" count="1" selected="0">
            <x v="2"/>
          </reference>
          <reference field="1" count="1" selected="0">
            <x v="3"/>
          </reference>
          <reference field="2" count="1" selected="0">
            <x v="4"/>
          </reference>
          <reference field="3" count="1" selected="0">
            <x v="2"/>
          </reference>
        </references>
      </pivotArea>
    </format>
    <format dxfId="39">
      <pivotArea outline="0" fieldPosition="0">
        <references count="4">
          <reference field="0" count="1" selected="0">
            <x v="2"/>
          </reference>
          <reference field="1" count="1" selected="0">
            <x v="3"/>
          </reference>
          <reference field="2" count="1" selected="0">
            <x v="6"/>
          </reference>
          <reference field="3" count="1" selected="0">
            <x v="2"/>
          </reference>
        </references>
      </pivotArea>
    </format>
    <format dxfId="38">
      <pivotArea outline="0" fieldPosition="0">
        <references count="4">
          <reference field="0" count="1" selected="0">
            <x v="3"/>
          </reference>
          <reference field="1" count="1" selected="0">
            <x v="3"/>
          </reference>
          <reference field="2" count="11" selected="0">
            <x v="0"/>
            <x v="1"/>
            <x v="2"/>
            <x v="3"/>
            <x v="4"/>
            <x v="5"/>
            <x v="6"/>
            <x v="10"/>
            <x v="11"/>
            <x v="13"/>
            <x v="18"/>
          </reference>
          <reference field="3" count="1" selected="0">
            <x v="2"/>
          </reference>
        </references>
      </pivotArea>
    </format>
    <format dxfId="37">
      <pivotArea outline="0" fieldPosition="0">
        <references count="4">
          <reference field="0" count="1" selected="0">
            <x v="3"/>
          </reference>
          <reference field="1" count="1" selected="0">
            <x v="4"/>
          </reference>
          <reference field="2" count="1" selected="0">
            <x v="2"/>
          </reference>
          <reference field="3" count="1" selected="0">
            <x v="2"/>
          </reference>
        </references>
      </pivotArea>
    </format>
    <format dxfId="36">
      <pivotArea outline="0" fieldPosition="0">
        <references count="4">
          <reference field="0" count="1" selected="0">
            <x v="3"/>
          </reference>
          <reference field="1" count="1" selected="0">
            <x v="4"/>
          </reference>
          <reference field="2" count="1" selected="0">
            <x v="4"/>
          </reference>
          <reference field="3" count="1" selected="0">
            <x v="2"/>
          </reference>
        </references>
      </pivotArea>
    </format>
    <format dxfId="35">
      <pivotArea outline="0" fieldPosition="0">
        <references count="4">
          <reference field="0" count="1" selected="0">
            <x v="2"/>
          </reference>
          <reference field="1" count="1" selected="0">
            <x v="3"/>
          </reference>
          <reference field="2" count="1" selected="0">
            <x v="5"/>
          </reference>
          <reference field="3" count="1" selected="0">
            <x v="2"/>
          </reference>
        </references>
      </pivotArea>
    </format>
    <format dxfId="34">
      <pivotArea outline="0" fieldPosition="0">
        <references count="4">
          <reference field="0" count="1" selected="0">
            <x v="3"/>
          </reference>
          <reference field="1" count="1" selected="0">
            <x v="4"/>
          </reference>
          <reference field="2" count="1" selected="0">
            <x v="5"/>
          </reference>
          <reference field="3" count="1" selected="0">
            <x v="2"/>
          </reference>
        </references>
      </pivotArea>
    </format>
    <format dxfId="33">
      <pivotArea outline="0" fieldPosition="0">
        <references count="4">
          <reference field="0" count="1" selected="0">
            <x v="3"/>
          </reference>
          <reference field="1" count="1" selected="0">
            <x v="4"/>
          </reference>
          <reference field="2" count="1" selected="0">
            <x v="6"/>
          </reference>
          <reference field="3" count="1" selected="0">
            <x v="2"/>
          </reference>
        </references>
      </pivotArea>
    </format>
    <format dxfId="32">
      <pivotArea outline="0" fieldPosition="0">
        <references count="4">
          <reference field="0" count="1" selected="0">
            <x v="4"/>
          </reference>
          <reference field="1" count="1" selected="0">
            <x v="4"/>
          </reference>
          <reference field="2" count="11" selected="0">
            <x v="0"/>
            <x v="1"/>
            <x v="2"/>
            <x v="3"/>
            <x v="4"/>
            <x v="5"/>
            <x v="6"/>
            <x v="10"/>
            <x v="11"/>
            <x v="13"/>
            <x v="18"/>
          </reference>
          <reference field="3" count="1" selected="0">
            <x v="2"/>
          </reference>
        </references>
      </pivotArea>
    </format>
    <format dxfId="31">
      <pivotArea outline="0" fieldPosition="0">
        <references count="4">
          <reference field="0" count="1" selected="0">
            <x v="4"/>
          </reference>
          <reference field="1" count="1" selected="0">
            <x v="5"/>
          </reference>
          <reference field="2" count="1" selected="0">
            <x v="2"/>
          </reference>
          <reference field="3" count="1" selected="0">
            <x v="2"/>
          </reference>
        </references>
      </pivotArea>
    </format>
    <format dxfId="30">
      <pivotArea outline="0" fieldPosition="0">
        <references count="4">
          <reference field="0" count="1" selected="0">
            <x v="4"/>
          </reference>
          <reference field="1" count="1" selected="0">
            <x v="5"/>
          </reference>
          <reference field="2" count="1" selected="0">
            <x v="4"/>
          </reference>
          <reference field="3" count="1" selected="0">
            <x v="2"/>
          </reference>
        </references>
      </pivotArea>
    </format>
    <format dxfId="29">
      <pivotArea outline="0" fieldPosition="0">
        <references count="4">
          <reference field="0" count="1" selected="0">
            <x v="4"/>
          </reference>
          <reference field="1" count="1" selected="0">
            <x v="5"/>
          </reference>
          <reference field="2" count="1" selected="0">
            <x v="5"/>
          </reference>
          <reference field="3" count="1" selected="0">
            <x v="2"/>
          </reference>
        </references>
      </pivotArea>
    </format>
    <format dxfId="28">
      <pivotArea outline="0" fieldPosition="0">
        <references count="4">
          <reference field="0" count="1" selected="0">
            <x v="4"/>
          </reference>
          <reference field="1" count="1" selected="0">
            <x v="5"/>
          </reference>
          <reference field="2" count="1" selected="0">
            <x v="6"/>
          </reference>
          <reference field="3" count="1" selected="0">
            <x v="2"/>
          </reference>
        </references>
      </pivotArea>
    </format>
    <format dxfId="27">
      <pivotArea outline="0" fieldPosition="0">
        <references count="4">
          <reference field="0" count="1" selected="0">
            <x v="5"/>
          </reference>
          <reference field="1" count="1" selected="0">
            <x v="5"/>
          </reference>
          <reference field="2" count="11" selected="0">
            <x v="0"/>
            <x v="1"/>
            <x v="2"/>
            <x v="3"/>
            <x v="4"/>
            <x v="5"/>
            <x v="6"/>
            <x v="10"/>
            <x v="11"/>
            <x v="13"/>
            <x v="18"/>
          </reference>
          <reference field="3" count="1" selected="0">
            <x v="2"/>
          </reference>
        </references>
      </pivotArea>
    </format>
    <format dxfId="26">
      <pivotArea outline="0" fieldPosition="0">
        <references count="4">
          <reference field="0" count="1" selected="0">
            <x v="5"/>
          </reference>
          <reference field="1" count="1" selected="0">
            <x v="6"/>
          </reference>
          <reference field="2" count="1" selected="0">
            <x v="2"/>
          </reference>
          <reference field="3" count="1" selected="0">
            <x v="2"/>
          </reference>
        </references>
      </pivotArea>
    </format>
    <format dxfId="25">
      <pivotArea outline="0" fieldPosition="0">
        <references count="4">
          <reference field="0" count="1" selected="0">
            <x v="5"/>
          </reference>
          <reference field="1" count="1" selected="0">
            <x v="6"/>
          </reference>
          <reference field="2" count="1" selected="0">
            <x v="4"/>
          </reference>
          <reference field="3" count="1" selected="0">
            <x v="2"/>
          </reference>
        </references>
      </pivotArea>
    </format>
    <format dxfId="24">
      <pivotArea outline="0" fieldPosition="0">
        <references count="4">
          <reference field="0" count="1" selected="0">
            <x v="5"/>
          </reference>
          <reference field="1" count="1" selected="0">
            <x v="6"/>
          </reference>
          <reference field="2" count="1" selected="0">
            <x v="5"/>
          </reference>
          <reference field="3" count="1" selected="0">
            <x v="2"/>
          </reference>
        </references>
      </pivotArea>
    </format>
    <format dxfId="23">
      <pivotArea outline="0" fieldPosition="0">
        <references count="4">
          <reference field="0" count="1" selected="0">
            <x v="5"/>
          </reference>
          <reference field="1" count="1" selected="0">
            <x v="6"/>
          </reference>
          <reference field="2" count="1" selected="0">
            <x v="6"/>
          </reference>
          <reference field="3" count="1" selected="0">
            <x v="2"/>
          </reference>
        </references>
      </pivotArea>
    </format>
    <format dxfId="22">
      <pivotArea outline="0" fieldPosition="0">
        <references count="3">
          <reference field="0" count="3" selected="0">
            <x v="2"/>
            <x v="3"/>
            <x v="4"/>
          </reference>
          <reference field="1" count="4" selected="0">
            <x v="2"/>
            <x v="3"/>
            <x v="4"/>
            <x v="5"/>
          </reference>
          <reference field="3" count="1" selected="0">
            <x v="5"/>
          </reference>
        </references>
      </pivotArea>
    </format>
    <format dxfId="21">
      <pivotArea outline="0" fieldPosition="0">
        <references count="3">
          <reference field="0" count="1" selected="0">
            <x v="5"/>
          </reference>
          <reference field="1" count="1" selected="0">
            <x v="5"/>
          </reference>
          <reference field="3" count="1" selected="0">
            <x v="5"/>
          </reference>
        </references>
      </pivotArea>
    </format>
    <format dxfId="20">
      <pivotArea outline="0" fieldPosition="0">
        <references count="4">
          <reference field="0" count="4" selected="0">
            <x v="2"/>
            <x v="3"/>
            <x v="4"/>
            <x v="5"/>
          </reference>
          <reference field="1" count="5" selected="0">
            <x v="2"/>
            <x v="3"/>
            <x v="4"/>
            <x v="5"/>
            <x v="6"/>
          </reference>
          <reference field="2" count="3" selected="0">
            <x v="13"/>
            <x v="16"/>
            <x v="17"/>
          </reference>
          <reference field="3" count="1" selected="0">
            <x v="4"/>
          </reference>
        </references>
      </pivotArea>
    </format>
    <format dxfId="19">
      <pivotArea outline="0" fieldPosition="0">
        <references count="3">
          <reference field="0" count="1" selected="0">
            <x v="5"/>
          </reference>
          <reference field="1" count="1" selected="0">
            <x v="6"/>
          </reference>
          <reference field="3" count="1" selected="0">
            <x v="5"/>
          </reference>
        </references>
      </pivotArea>
    </format>
    <format dxfId="18">
      <pivotArea outline="0" fieldPosition="0">
        <references count="4">
          <reference field="0" count="4" selected="0">
            <x v="2"/>
            <x v="3"/>
            <x v="4"/>
            <x v="5"/>
          </reference>
          <reference field="1" count="5" selected="0">
            <x v="2"/>
            <x v="3"/>
            <x v="4"/>
            <x v="5"/>
            <x v="6"/>
          </reference>
          <reference field="2" count="1" selected="0">
            <x v="7"/>
          </reference>
          <reference field="3" count="1" selected="0">
            <x v="3"/>
          </reference>
        </references>
      </pivotArea>
    </format>
    <format dxfId="17">
      <pivotArea outline="0" fieldPosition="0">
        <references count="4">
          <reference field="0" count="4" selected="0">
            <x v="2"/>
            <x v="3"/>
            <x v="4"/>
            <x v="5"/>
          </reference>
          <reference field="1" count="5" selected="0">
            <x v="2"/>
            <x v="3"/>
            <x v="4"/>
            <x v="5"/>
            <x v="6"/>
          </reference>
          <reference field="2" count="2" selected="0">
            <x v="8"/>
            <x v="9"/>
          </reference>
          <reference field="3" count="1" selected="0">
            <x v="3"/>
          </reference>
        </references>
      </pivotArea>
    </format>
    <format dxfId="16">
      <pivotArea outline="0" fieldPosition="0">
        <references count="4">
          <reference field="0" count="1" selected="0">
            <x v="1"/>
          </reference>
          <reference field="1" count="1" selected="0">
            <x v="1"/>
          </reference>
          <reference field="2" count="1" selected="0">
            <x v="0"/>
          </reference>
          <reference field="3" count="1" selected="0">
            <x v="0"/>
          </reference>
        </references>
      </pivotArea>
    </format>
    <format dxfId="15">
      <pivotArea outline="0" fieldPosition="0">
        <references count="4">
          <reference field="0" count="1" selected="0">
            <x v="0"/>
          </reference>
          <reference field="1" count="1" selected="0">
            <x v="0"/>
          </reference>
          <reference field="2" count="1" selected="0">
            <x v="0"/>
          </reference>
          <reference field="3" count="1" selected="0">
            <x v="0"/>
          </reference>
        </references>
      </pivotArea>
    </format>
    <format dxfId="14">
      <pivotArea outline="0" fieldPosition="0">
        <references count="4">
          <reference field="0" count="1" selected="0">
            <x v="0"/>
          </reference>
          <reference field="1" count="1" selected="0">
            <x v="0"/>
          </reference>
          <reference field="2" count="12" selected="0">
            <x v="0"/>
            <x v="1"/>
            <x v="2"/>
            <x v="3"/>
            <x v="4"/>
            <x v="6"/>
            <x v="10"/>
            <x v="11"/>
            <x v="12"/>
            <x v="13"/>
            <x v="14"/>
            <x v="15"/>
          </reference>
          <reference field="3" count="1" selected="0">
            <x v="0"/>
          </reference>
        </references>
      </pivotArea>
    </format>
    <format dxfId="13">
      <pivotArea outline="0" fieldPosition="0">
        <references count="4">
          <reference field="0" count="1" selected="0">
            <x v="1"/>
          </reference>
          <reference field="1" count="1" selected="0">
            <x v="1"/>
          </reference>
          <reference field="2" count="12" selected="0">
            <x v="0"/>
            <x v="1"/>
            <x v="2"/>
            <x v="3"/>
            <x v="4"/>
            <x v="6"/>
            <x v="10"/>
            <x v="11"/>
            <x v="12"/>
            <x v="13"/>
            <x v="14"/>
            <x v="15"/>
          </reference>
          <reference field="3" count="1" selected="0">
            <x v="0"/>
          </reference>
        </references>
      </pivotArea>
    </format>
    <format dxfId="12">
      <pivotArea outline="0" fieldPosition="0">
        <references count="4">
          <reference field="0" count="1" selected="0">
            <x v="0"/>
          </reference>
          <reference field="1" count="1" selected="0">
            <x v="0"/>
          </reference>
          <reference field="2" count="3" selected="0">
            <x v="0"/>
            <x v="3"/>
            <x v="15"/>
          </reference>
          <reference field="3" count="1" selected="0">
            <x v="1"/>
          </reference>
        </references>
      </pivotArea>
    </format>
    <format dxfId="11">
      <pivotArea outline="0" fieldPosition="0">
        <references count="4">
          <reference field="0" count="1" selected="0">
            <x v="1"/>
          </reference>
          <reference field="1" count="1" selected="0">
            <x v="1"/>
          </reference>
          <reference field="2" count="3" selected="0">
            <x v="0"/>
            <x v="3"/>
            <x v="15"/>
          </reference>
          <reference field="3" count="1" selected="0">
            <x v="1"/>
          </reference>
        </references>
      </pivotArea>
    </format>
    <format dxfId="10">
      <pivotArea outline="0" fieldPosition="0">
        <references count="4">
          <reference field="0" count="1" selected="0">
            <x v="0"/>
          </reference>
          <reference field="1" count="1" selected="0">
            <x v="0"/>
          </reference>
          <reference field="2" count="11" selected="0">
            <x v="0"/>
            <x v="1"/>
            <x v="2"/>
            <x v="3"/>
            <x v="4"/>
            <x v="5"/>
            <x v="6"/>
            <x v="10"/>
            <x v="11"/>
            <x v="13"/>
            <x v="18"/>
          </reference>
          <reference field="3" count="1" selected="0">
            <x v="2"/>
          </reference>
        </references>
      </pivotArea>
    </format>
    <format dxfId="9">
      <pivotArea outline="0" fieldPosition="0">
        <references count="4">
          <reference field="0" count="1" selected="0">
            <x v="1"/>
          </reference>
          <reference field="1" count="1" selected="0">
            <x v="1"/>
          </reference>
          <reference field="2" count="11" selected="0">
            <x v="0"/>
            <x v="1"/>
            <x v="2"/>
            <x v="3"/>
            <x v="4"/>
            <x v="5"/>
            <x v="6"/>
            <x v="10"/>
            <x v="11"/>
            <x v="13"/>
            <x v="18"/>
          </reference>
          <reference field="3" count="1" selected="0">
            <x v="2"/>
          </reference>
        </references>
      </pivotArea>
    </format>
    <format dxfId="8">
      <pivotArea outline="0" fieldPosition="0">
        <references count="4">
          <reference field="0" count="1" selected="0">
            <x v="0"/>
          </reference>
          <reference field="1" count="1" selected="0">
            <x v="1"/>
          </reference>
          <reference field="2" count="1" selected="0">
            <x v="2"/>
          </reference>
          <reference field="3" count="1" selected="0">
            <x v="2"/>
          </reference>
        </references>
      </pivotArea>
    </format>
    <format dxfId="7">
      <pivotArea outline="0" fieldPosition="0">
        <references count="4">
          <reference field="0" count="1" selected="0">
            <x v="1"/>
          </reference>
          <reference field="1" count="1" selected="0">
            <x v="2"/>
          </reference>
          <reference field="2" count="1" selected="0">
            <x v="2"/>
          </reference>
          <reference field="3" count="1" selected="0">
            <x v="2"/>
          </reference>
        </references>
      </pivotArea>
    </format>
    <format dxfId="6">
      <pivotArea outline="0" fieldPosition="0">
        <references count="4">
          <reference field="0" count="1" selected="0">
            <x v="0"/>
          </reference>
          <reference field="1" count="1" selected="0">
            <x v="1"/>
          </reference>
          <reference field="2" count="3" selected="0">
            <x v="4"/>
            <x v="5"/>
            <x v="6"/>
          </reference>
          <reference field="3" count="1" selected="0">
            <x v="2"/>
          </reference>
        </references>
      </pivotArea>
    </format>
    <format dxfId="5">
      <pivotArea outline="0" fieldPosition="0">
        <references count="4">
          <reference field="0" count="1" selected="0">
            <x v="1"/>
          </reference>
          <reference field="1" count="1" selected="0">
            <x v="2"/>
          </reference>
          <reference field="2" count="3" selected="0">
            <x v="4"/>
            <x v="5"/>
            <x v="6"/>
          </reference>
          <reference field="3" count="1" selected="0">
            <x v="2"/>
          </reference>
        </references>
      </pivotArea>
    </format>
    <format dxfId="4">
      <pivotArea outline="0" fieldPosition="0">
        <references count="4">
          <reference field="0" count="2" selected="0">
            <x v="0"/>
            <x v="1"/>
          </reference>
          <reference field="1" count="3" selected="0">
            <x v="0"/>
            <x v="1"/>
            <x v="2"/>
          </reference>
          <reference field="2" count="1" selected="0">
            <x v="7"/>
          </reference>
          <reference field="3" count="1" selected="0">
            <x v="3"/>
          </reference>
        </references>
      </pivotArea>
    </format>
    <format dxfId="3">
      <pivotArea outline="0" fieldPosition="0">
        <references count="4">
          <reference field="0" count="2" selected="0">
            <x v="0"/>
            <x v="1"/>
          </reference>
          <reference field="1" count="3" selected="0">
            <x v="0"/>
            <x v="1"/>
            <x v="2"/>
          </reference>
          <reference field="2" count="2" selected="0">
            <x v="8"/>
            <x v="9"/>
          </reference>
          <reference field="3" count="1" selected="0">
            <x v="3"/>
          </reference>
        </references>
      </pivotArea>
    </format>
    <format dxfId="2">
      <pivotArea outline="0" fieldPosition="0">
        <references count="4">
          <reference field="0" count="2" selected="0">
            <x v="0"/>
            <x v="1"/>
          </reference>
          <reference field="1" count="3" selected="0">
            <x v="0"/>
            <x v="1"/>
            <x v="2"/>
          </reference>
          <reference field="2" count="3" selected="0">
            <x v="13"/>
            <x v="16"/>
            <x v="17"/>
          </reference>
          <reference field="3" count="1" selected="0">
            <x v="4"/>
          </reference>
        </references>
      </pivotArea>
    </format>
    <format dxfId="1">
      <pivotArea outline="0" fieldPosition="0">
        <references count="3">
          <reference field="0" count="2" selected="0">
            <x v="0"/>
            <x v="1"/>
          </reference>
          <reference field="1" count="3" selected="0">
            <x v="0"/>
            <x v="1"/>
            <x v="2"/>
          </reference>
          <reference field="3" count="1" selected="0">
            <x v="5"/>
          </reference>
        </references>
      </pivotArea>
    </format>
    <format dxfId="0">
      <pivotArea outline="0" fieldPosition="0">
        <references count="3">
          <reference field="0" count="1" selected="0">
            <x v="0"/>
          </reference>
          <reference field="1" count="2" selected="0">
            <x v="0"/>
            <x v="1"/>
          </reference>
          <reference field="3" count="1" selected="0">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DAS Colors">
      <a:dk1>
        <a:sysClr val="windowText" lastClr="000000"/>
      </a:dk1>
      <a:lt1>
        <a:sysClr val="window" lastClr="FFFFFF"/>
      </a:lt1>
      <a:dk2>
        <a:srgbClr val="44546A"/>
      </a:dk2>
      <a:lt2>
        <a:srgbClr val="E7E6E6"/>
      </a:lt2>
      <a:accent1>
        <a:srgbClr val="00579B"/>
      </a:accent1>
      <a:accent2>
        <a:srgbClr val="1A8CAA"/>
      </a:accent2>
      <a:accent3>
        <a:srgbClr val="425F3F"/>
      </a:accent3>
      <a:accent4>
        <a:srgbClr val="263B80"/>
      </a:accent4>
      <a:accent5>
        <a:srgbClr val="740041"/>
      </a:accent5>
      <a:accent6>
        <a:srgbClr val="E1B924"/>
      </a:accent6>
      <a:hlink>
        <a:srgbClr val="00579B"/>
      </a:hlink>
      <a:folHlink>
        <a:srgbClr val="F3722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9.bin"/><Relationship Id="rId1" Type="http://schemas.openxmlformats.org/officeDocument/2006/relationships/hyperlink" Target="https://secure.sos.state.or.us/oard/viewSingleRule.action?ruleVrsnRsn=269347"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5" Type="http://schemas.openxmlformats.org/officeDocument/2006/relationships/printerSettings" Target="../printerSettings/printerSettings6.bin"/><Relationship Id="rId4" Type="http://schemas.openxmlformats.org/officeDocument/2006/relationships/pivotTable" Target="../pivotTables/pivotTable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https://www.eia.gov/outlooks/aeo/data/brows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eia.gov/outlooks/aeo/data/brows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163E5-EE9A-46F3-9678-F7CCD879A63D}">
  <dimension ref="A1:G13"/>
  <sheetViews>
    <sheetView workbookViewId="0">
      <selection activeCell="I8" sqref="I8"/>
    </sheetView>
  </sheetViews>
  <sheetFormatPr defaultRowHeight="14.4" x14ac:dyDescent="0.3"/>
  <sheetData>
    <row r="1" spans="1:7" x14ac:dyDescent="0.3">
      <c r="A1" s="212" t="s">
        <v>901</v>
      </c>
      <c r="B1" s="212"/>
      <c r="C1" s="212"/>
      <c r="D1" s="212"/>
      <c r="E1" s="212"/>
      <c r="F1" s="212"/>
      <c r="G1" s="212"/>
    </row>
    <row r="2" spans="1:7" x14ac:dyDescent="0.3">
      <c r="A2" s="212"/>
      <c r="B2" s="212"/>
      <c r="C2" s="212"/>
      <c r="D2" s="212"/>
      <c r="E2" s="212"/>
      <c r="F2" s="212"/>
      <c r="G2" s="212"/>
    </row>
    <row r="3" spans="1:7" x14ac:dyDescent="0.3">
      <c r="A3" s="212"/>
      <c r="B3" s="212"/>
      <c r="C3" s="212"/>
      <c r="D3" s="212"/>
      <c r="E3" s="212"/>
      <c r="F3" s="212"/>
      <c r="G3" s="212"/>
    </row>
    <row r="4" spans="1:7" x14ac:dyDescent="0.3">
      <c r="A4" s="212"/>
      <c r="B4" s="212"/>
      <c r="C4" s="212"/>
      <c r="D4" s="212"/>
      <c r="E4" s="212"/>
      <c r="F4" s="212"/>
      <c r="G4" s="212"/>
    </row>
    <row r="5" spans="1:7" x14ac:dyDescent="0.3">
      <c r="A5" s="212"/>
      <c r="B5" s="212"/>
      <c r="C5" s="212"/>
      <c r="D5" s="212"/>
      <c r="E5" s="212"/>
      <c r="F5" s="212"/>
      <c r="G5" s="212"/>
    </row>
    <row r="6" spans="1:7" x14ac:dyDescent="0.3">
      <c r="A6" s="212"/>
      <c r="B6" s="212"/>
      <c r="C6" s="212"/>
      <c r="D6" s="212"/>
      <c r="E6" s="212"/>
      <c r="F6" s="212"/>
      <c r="G6" s="212"/>
    </row>
    <row r="7" spans="1:7" x14ac:dyDescent="0.3">
      <c r="A7" s="212"/>
      <c r="B7" s="212"/>
      <c r="C7" s="212"/>
      <c r="D7" s="212"/>
      <c r="E7" s="212"/>
      <c r="F7" s="212"/>
      <c r="G7" s="212"/>
    </row>
    <row r="8" spans="1:7" x14ac:dyDescent="0.3">
      <c r="A8" s="212"/>
      <c r="B8" s="212"/>
      <c r="C8" s="212"/>
      <c r="D8" s="212"/>
      <c r="E8" s="212"/>
      <c r="F8" s="212"/>
      <c r="G8" s="212"/>
    </row>
    <row r="9" spans="1:7" x14ac:dyDescent="0.3">
      <c r="A9" s="212"/>
      <c r="B9" s="212"/>
      <c r="C9" s="212"/>
      <c r="D9" s="212"/>
      <c r="E9" s="212"/>
      <c r="F9" s="212"/>
      <c r="G9" s="212"/>
    </row>
    <row r="10" spans="1:7" x14ac:dyDescent="0.3">
      <c r="A10" s="212"/>
      <c r="B10" s="212"/>
      <c r="C10" s="212"/>
      <c r="D10" s="212"/>
      <c r="E10" s="212"/>
      <c r="F10" s="212"/>
      <c r="G10" s="212"/>
    </row>
    <row r="11" spans="1:7" x14ac:dyDescent="0.3">
      <c r="A11" s="212"/>
      <c r="B11" s="212"/>
      <c r="C11" s="212"/>
      <c r="D11" s="212"/>
      <c r="E11" s="212"/>
      <c r="F11" s="212"/>
      <c r="G11" s="212"/>
    </row>
    <row r="12" spans="1:7" x14ac:dyDescent="0.3">
      <c r="A12" s="212"/>
      <c r="B12" s="212"/>
      <c r="C12" s="212"/>
      <c r="D12" s="212"/>
      <c r="E12" s="212"/>
      <c r="F12" s="212"/>
      <c r="G12" s="212"/>
    </row>
    <row r="13" spans="1:7" x14ac:dyDescent="0.3">
      <c r="A13" s="212"/>
      <c r="B13" s="212"/>
      <c r="C13" s="212"/>
      <c r="D13" s="212"/>
      <c r="E13" s="212"/>
      <c r="F13" s="212"/>
      <c r="G13" s="212"/>
    </row>
  </sheetData>
  <mergeCells count="1">
    <mergeCell ref="A1:G13"/>
  </mergeCells>
  <pageMargins left="0.7" right="0.7" top="0.75" bottom="0.75" header="0.3" footer="0.3"/>
  <pageSetup orientation="portrait" horizontalDpi="200"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B45"/>
  <sheetViews>
    <sheetView zoomScale="84" zoomScaleNormal="84" workbookViewId="0">
      <pane xSplit="2" ySplit="5" topLeftCell="K6" activePane="bottomRight" state="frozen"/>
      <selection pane="topRight" activeCell="C1" sqref="C1"/>
      <selection pane="bottomLeft" activeCell="A6" sqref="A6"/>
      <selection pane="bottomRight" activeCell="H36" sqref="H36"/>
    </sheetView>
  </sheetViews>
  <sheetFormatPr defaultRowHeight="14.4" x14ac:dyDescent="0.3"/>
  <cols>
    <col min="1" max="1" width="18.6640625" bestFit="1" customWidth="1"/>
    <col min="2" max="2" width="14.6640625" bestFit="1" customWidth="1"/>
    <col min="3" max="18" width="15.5546875" bestFit="1" customWidth="1"/>
    <col min="19" max="19" width="12.33203125" bestFit="1" customWidth="1"/>
    <col min="20" max="20" width="12.88671875" bestFit="1" customWidth="1"/>
    <col min="21" max="21" width="20.6640625" customWidth="1"/>
    <col min="22" max="22" width="9.5546875" customWidth="1"/>
    <col min="23" max="23" width="10.6640625" customWidth="1"/>
    <col min="24" max="26" width="10.109375" customWidth="1"/>
    <col min="27" max="27" width="19.88671875" customWidth="1"/>
    <col min="28" max="30" width="16.88671875" customWidth="1"/>
  </cols>
  <sheetData>
    <row r="3" spans="1:28" ht="21.6" customHeight="1" x14ac:dyDescent="0.3">
      <c r="A3" s="14" t="s">
        <v>808</v>
      </c>
      <c r="C3" s="14" t="s">
        <v>809</v>
      </c>
      <c r="D3" s="14" t="s">
        <v>3</v>
      </c>
      <c r="U3" s="170" t="s">
        <v>810</v>
      </c>
      <c r="V3" s="1"/>
      <c r="W3" s="1"/>
      <c r="X3" s="1"/>
      <c r="Y3" s="1"/>
      <c r="Z3" s="1"/>
    </row>
    <row r="4" spans="1:28" x14ac:dyDescent="0.3">
      <c r="C4" s="15">
        <v>46023</v>
      </c>
      <c r="E4" s="15">
        <v>45658</v>
      </c>
      <c r="G4" s="15">
        <v>45292</v>
      </c>
      <c r="I4" s="15">
        <v>44927</v>
      </c>
      <c r="K4" s="15">
        <v>44562</v>
      </c>
      <c r="M4" s="15">
        <v>44197</v>
      </c>
      <c r="O4" s="15">
        <v>43831</v>
      </c>
      <c r="Q4" s="15">
        <v>43466</v>
      </c>
      <c r="R4" s="15">
        <v>43101</v>
      </c>
      <c r="U4" s="1"/>
      <c r="V4" s="225" t="s">
        <v>811</v>
      </c>
      <c r="W4" s="225" t="s">
        <v>812</v>
      </c>
      <c r="X4" s="224" t="s">
        <v>813</v>
      </c>
      <c r="Y4" s="224"/>
      <c r="Z4" s="224"/>
    </row>
    <row r="5" spans="1:28" ht="32.4" customHeight="1" x14ac:dyDescent="0.3">
      <c r="A5" s="14" t="s">
        <v>814</v>
      </c>
      <c r="B5" s="14" t="s">
        <v>184</v>
      </c>
      <c r="C5" s="15">
        <v>46023</v>
      </c>
      <c r="D5" s="15">
        <v>45658</v>
      </c>
      <c r="E5" s="15">
        <v>45658</v>
      </c>
      <c r="F5" s="15">
        <v>45292</v>
      </c>
      <c r="G5" s="15">
        <v>45292</v>
      </c>
      <c r="H5" s="15">
        <v>44927</v>
      </c>
      <c r="I5" s="15">
        <v>44927</v>
      </c>
      <c r="J5" s="15">
        <v>44562</v>
      </c>
      <c r="K5" s="15">
        <v>44562</v>
      </c>
      <c r="L5" s="15">
        <v>44197</v>
      </c>
      <c r="M5" s="15">
        <v>44197</v>
      </c>
      <c r="N5" s="15">
        <v>43831</v>
      </c>
      <c r="O5" s="15">
        <v>43831</v>
      </c>
      <c r="P5" s="15">
        <v>43466</v>
      </c>
      <c r="Q5" s="15">
        <v>43466</v>
      </c>
      <c r="R5" s="15">
        <v>43101</v>
      </c>
      <c r="U5" s="144"/>
      <c r="V5" s="226"/>
      <c r="W5" s="226"/>
      <c r="X5" s="169" t="s">
        <v>815</v>
      </c>
      <c r="Y5" s="169">
        <v>2025</v>
      </c>
      <c r="Z5" s="169">
        <v>2026</v>
      </c>
    </row>
    <row r="6" spans="1:28" x14ac:dyDescent="0.3">
      <c r="A6" t="s">
        <v>816</v>
      </c>
      <c r="B6" t="s">
        <v>817</v>
      </c>
      <c r="C6" s="88">
        <v>122.48</v>
      </c>
      <c r="D6" s="17"/>
      <c r="E6" s="88">
        <v>122.48</v>
      </c>
      <c r="F6" s="17"/>
      <c r="G6" s="88">
        <v>122.48</v>
      </c>
      <c r="H6" s="17"/>
      <c r="I6" s="88">
        <v>122.48</v>
      </c>
      <c r="J6" s="17"/>
      <c r="K6" s="88">
        <v>122.48</v>
      </c>
      <c r="L6" s="17"/>
      <c r="M6" s="88">
        <v>122.48</v>
      </c>
      <c r="N6" s="17"/>
      <c r="O6" s="17">
        <v>122.48</v>
      </c>
      <c r="P6" s="17"/>
      <c r="Q6" s="17">
        <v>118.383</v>
      </c>
      <c r="R6" s="17">
        <v>116.09</v>
      </c>
      <c r="U6" s="161" t="s">
        <v>12</v>
      </c>
      <c r="V6" s="163">
        <f>+ED_gas_T0</f>
        <v>122.48</v>
      </c>
      <c r="W6" s="163">
        <f>+CIT_gas_T0</f>
        <v>84.92</v>
      </c>
      <c r="X6" s="159">
        <f>+CIA_gas_T2</f>
        <v>100.14</v>
      </c>
      <c r="Y6" s="159">
        <f>+CIA_gas_T1</f>
        <v>100.14</v>
      </c>
      <c r="Z6" s="159">
        <f>+CIA_gas_T0</f>
        <v>98.12</v>
      </c>
    </row>
    <row r="7" spans="1:28" x14ac:dyDescent="0.3">
      <c r="B7" t="s">
        <v>818</v>
      </c>
      <c r="C7" s="88">
        <v>122.48</v>
      </c>
      <c r="D7" s="17"/>
      <c r="E7" s="88">
        <v>122.48</v>
      </c>
      <c r="F7" s="17"/>
      <c r="G7" s="88">
        <v>122.48</v>
      </c>
      <c r="H7" s="17"/>
      <c r="I7" s="88">
        <v>122.48</v>
      </c>
      <c r="J7" s="17"/>
      <c r="K7" s="88">
        <v>122.48</v>
      </c>
      <c r="L7" s="17"/>
      <c r="M7" s="88">
        <v>122.48</v>
      </c>
      <c r="N7" s="17"/>
      <c r="O7" s="17">
        <v>122.48</v>
      </c>
      <c r="P7" s="17"/>
      <c r="Q7" s="17">
        <v>122.48</v>
      </c>
      <c r="R7" s="17">
        <v>116.09</v>
      </c>
      <c r="U7" s="144" t="s">
        <v>82</v>
      </c>
      <c r="V7" s="163">
        <f>+ED_eth_T0</f>
        <v>81.510000000000005</v>
      </c>
      <c r="W7" s="163">
        <f>+CIT_gas_T0</f>
        <v>84.92</v>
      </c>
      <c r="X7" s="160">
        <f>+CIA_eth_T2</f>
        <v>50.5</v>
      </c>
      <c r="Y7" s="160">
        <f>+CIA_eth_T1</f>
        <v>48</v>
      </c>
      <c r="Z7" s="160">
        <f>+CIA_Eth_T0</f>
        <v>47.5</v>
      </c>
    </row>
    <row r="8" spans="1:28" x14ac:dyDescent="0.3">
      <c r="B8" t="s">
        <v>82</v>
      </c>
      <c r="C8" s="88">
        <v>81.510000000000005</v>
      </c>
      <c r="D8" s="17"/>
      <c r="E8" s="88">
        <v>81.510000000000005</v>
      </c>
      <c r="F8" s="17"/>
      <c r="G8" s="88">
        <v>81.510000000000005</v>
      </c>
      <c r="H8" s="17"/>
      <c r="I8" s="88">
        <v>81.510000000000005</v>
      </c>
      <c r="J8" s="17"/>
      <c r="K8" s="88">
        <v>81.510000000000005</v>
      </c>
      <c r="L8" s="17"/>
      <c r="M8" s="88">
        <v>81.510000000000005</v>
      </c>
      <c r="N8" s="17"/>
      <c r="O8" s="17">
        <v>81.510000000000005</v>
      </c>
      <c r="P8" s="17"/>
      <c r="Q8" s="17">
        <v>81.510000000000005</v>
      </c>
      <c r="R8" s="17">
        <v>81.510000000000005</v>
      </c>
      <c r="U8" s="144" t="s">
        <v>9</v>
      </c>
      <c r="V8" s="163">
        <f>+ED_die_T0</f>
        <v>134.47999999999999</v>
      </c>
      <c r="W8" s="163">
        <f>+CIT_die_T0</f>
        <v>90.4</v>
      </c>
      <c r="X8" s="159">
        <f>+CIA_die_T2</f>
        <v>100.74</v>
      </c>
      <c r="Y8" s="159">
        <f>+CIA_die_T1</f>
        <v>100.74</v>
      </c>
      <c r="Z8" s="159">
        <f>+CIA_die_T0</f>
        <v>104.92</v>
      </c>
    </row>
    <row r="9" spans="1:28" x14ac:dyDescent="0.3">
      <c r="B9" t="s">
        <v>819</v>
      </c>
      <c r="C9" s="88">
        <v>134.47999999999999</v>
      </c>
      <c r="D9" s="17"/>
      <c r="E9" s="88">
        <v>134.47999999999999</v>
      </c>
      <c r="F9" s="17"/>
      <c r="G9" s="88">
        <v>134.47999999999999</v>
      </c>
      <c r="H9" s="17"/>
      <c r="I9" s="88">
        <v>134.47999999999999</v>
      </c>
      <c r="J9" s="17"/>
      <c r="K9" s="88">
        <v>134.47999999999999</v>
      </c>
      <c r="L9" s="17"/>
      <c r="M9" s="88">
        <v>134.47999999999999</v>
      </c>
      <c r="N9" s="17"/>
      <c r="O9" s="17">
        <v>134.47999999999999</v>
      </c>
      <c r="P9" s="17"/>
      <c r="Q9" s="17">
        <v>134.47999999999999</v>
      </c>
      <c r="R9" s="17">
        <v>129.49</v>
      </c>
      <c r="U9" s="144" t="s">
        <v>18</v>
      </c>
      <c r="V9" s="163">
        <f>+ED_Bio_T0</f>
        <v>126.13</v>
      </c>
      <c r="W9" s="163">
        <f>+CIT_die_T0</f>
        <v>90.4</v>
      </c>
      <c r="X9" s="160">
        <f>CIA_bio_T2</f>
        <v>44</v>
      </c>
      <c r="Y9" s="160">
        <f>CIA_Bio_T1</f>
        <v>43.5</v>
      </c>
      <c r="Z9" s="160">
        <f>CIA_bio_T0</f>
        <v>42.5</v>
      </c>
    </row>
    <row r="10" spans="1:28" x14ac:dyDescent="0.3">
      <c r="B10" t="s">
        <v>18</v>
      </c>
      <c r="C10" s="88">
        <v>126.13</v>
      </c>
      <c r="D10" s="17"/>
      <c r="E10" s="88">
        <v>126.13</v>
      </c>
      <c r="F10" s="17"/>
      <c r="G10" s="88">
        <v>126.13</v>
      </c>
      <c r="H10" s="17"/>
      <c r="I10" s="88">
        <v>126.13</v>
      </c>
      <c r="J10" s="17"/>
      <c r="K10" s="88">
        <v>126.13</v>
      </c>
      <c r="L10" s="17"/>
      <c r="M10" s="88">
        <v>126.13</v>
      </c>
      <c r="N10" s="17"/>
      <c r="O10" s="17">
        <v>126.13</v>
      </c>
      <c r="P10" s="17"/>
      <c r="Q10" s="17">
        <v>126.13</v>
      </c>
      <c r="R10" s="17">
        <v>119.55</v>
      </c>
      <c r="U10" s="144" t="s">
        <v>87</v>
      </c>
      <c r="V10" s="163">
        <f>+ED_ren_T0</f>
        <v>129.65</v>
      </c>
      <c r="W10" s="163">
        <f>+CIT_die_T0</f>
        <v>90.4</v>
      </c>
      <c r="X10" s="160">
        <f>+CIA_ren_T2</f>
        <v>39</v>
      </c>
      <c r="Y10" s="160">
        <f>+CIA_ren_T1</f>
        <v>36</v>
      </c>
      <c r="Z10" s="160">
        <f>+CIA_ren_T0</f>
        <v>37</v>
      </c>
    </row>
    <row r="11" spans="1:28" x14ac:dyDescent="0.3">
      <c r="B11" t="s">
        <v>19</v>
      </c>
      <c r="C11" s="88">
        <v>129.65</v>
      </c>
      <c r="D11" s="17"/>
      <c r="E11" s="88">
        <v>129.65</v>
      </c>
      <c r="F11" s="17"/>
      <c r="G11" s="88">
        <v>129.65</v>
      </c>
      <c r="H11" s="17"/>
      <c r="I11" s="88">
        <v>129.65</v>
      </c>
      <c r="J11" s="17"/>
      <c r="K11" s="88">
        <v>129.65</v>
      </c>
      <c r="L11" s="17"/>
      <c r="M11" s="88">
        <v>129.65</v>
      </c>
      <c r="N11" s="17"/>
      <c r="O11" s="17">
        <v>129.65</v>
      </c>
      <c r="P11" s="17"/>
      <c r="Q11" s="17">
        <v>129.65</v>
      </c>
      <c r="R11" s="17">
        <v>129.65</v>
      </c>
      <c r="S11" s="9"/>
      <c r="U11" s="1" t="s">
        <v>176</v>
      </c>
      <c r="V11" s="164">
        <f>ED_eon_T0</f>
        <v>3.6</v>
      </c>
      <c r="W11" s="165">
        <f>+CIT_gas_T0</f>
        <v>84.92</v>
      </c>
      <c r="X11" s="156">
        <f>+CIA_eon_T2</f>
        <v>0</v>
      </c>
      <c r="Y11" s="156">
        <f>+CIA_eon_T1</f>
        <v>0</v>
      </c>
      <c r="Z11" s="156">
        <f>+CIA_eon_T0</f>
        <v>0</v>
      </c>
      <c r="AA11">
        <v>0.56999999999999995</v>
      </c>
    </row>
    <row r="12" spans="1:28" x14ac:dyDescent="0.3">
      <c r="B12" t="s">
        <v>21</v>
      </c>
      <c r="C12" s="88">
        <v>3.6</v>
      </c>
      <c r="D12" s="17"/>
      <c r="E12" s="88">
        <v>3.6</v>
      </c>
      <c r="F12" s="17"/>
      <c r="G12" s="88">
        <v>3.6</v>
      </c>
      <c r="H12" s="17"/>
      <c r="I12" s="88">
        <v>3.6</v>
      </c>
      <c r="J12" s="17"/>
      <c r="K12" s="88">
        <v>3.6</v>
      </c>
      <c r="L12" s="17"/>
      <c r="M12" s="88">
        <v>3.6</v>
      </c>
      <c r="N12" s="17"/>
      <c r="O12" s="17">
        <v>3.6</v>
      </c>
      <c r="P12" s="17"/>
      <c r="Q12" s="17">
        <v>3.6</v>
      </c>
      <c r="R12" s="17">
        <v>3.6</v>
      </c>
      <c r="S12" s="9"/>
      <c r="U12" s="157" t="s">
        <v>820</v>
      </c>
      <c r="V12" s="166">
        <f>KWh_T0</f>
        <v>3103</v>
      </c>
      <c r="W12" s="165"/>
      <c r="X12" s="155"/>
      <c r="Y12" s="155"/>
      <c r="Z12" s="155"/>
      <c r="AA12">
        <v>0.43</v>
      </c>
      <c r="AB12">
        <v>147</v>
      </c>
    </row>
    <row r="13" spans="1:28" x14ac:dyDescent="0.3">
      <c r="B13" t="s">
        <v>26</v>
      </c>
      <c r="C13" s="88">
        <v>105.5</v>
      </c>
      <c r="D13" s="17"/>
      <c r="E13" s="88">
        <v>105.5</v>
      </c>
      <c r="F13" s="17"/>
      <c r="G13" s="88">
        <v>105.5</v>
      </c>
      <c r="H13" s="17"/>
      <c r="I13" s="88">
        <v>105.5</v>
      </c>
      <c r="J13" s="17"/>
      <c r="K13" s="88">
        <v>105.5</v>
      </c>
      <c r="L13" s="17"/>
      <c r="M13" s="88">
        <v>105.5</v>
      </c>
      <c r="N13" s="17"/>
      <c r="O13" s="17">
        <v>0.98</v>
      </c>
      <c r="P13" s="17"/>
      <c r="Q13" s="17">
        <v>0.98</v>
      </c>
      <c r="R13" s="17">
        <v>0.98</v>
      </c>
      <c r="U13" s="157" t="s">
        <v>821</v>
      </c>
      <c r="V13" s="167">
        <f>EEReon_T0</f>
        <v>3.4</v>
      </c>
      <c r="W13" s="165"/>
      <c r="X13" s="155"/>
      <c r="Y13" s="155"/>
      <c r="Z13" s="155"/>
    </row>
    <row r="14" spans="1:28" x14ac:dyDescent="0.3">
      <c r="B14" t="s">
        <v>27</v>
      </c>
      <c r="C14" s="88">
        <v>78.83</v>
      </c>
      <c r="D14" s="17"/>
      <c r="E14" s="88">
        <v>78.83</v>
      </c>
      <c r="F14" s="17"/>
      <c r="G14" s="88">
        <v>78.83</v>
      </c>
      <c r="H14" s="17"/>
      <c r="I14" s="88">
        <v>78.83</v>
      </c>
      <c r="J14" s="17"/>
      <c r="K14" s="88">
        <v>78.83</v>
      </c>
      <c r="L14" s="17"/>
      <c r="M14" s="88">
        <v>78.83</v>
      </c>
      <c r="N14" s="17"/>
      <c r="O14" s="17">
        <v>78.83</v>
      </c>
      <c r="P14" s="17"/>
      <c r="Q14" s="17">
        <v>78.83</v>
      </c>
      <c r="R14" s="17">
        <v>76.84</v>
      </c>
      <c r="U14" s="158" t="s">
        <v>822</v>
      </c>
      <c r="V14" s="168">
        <f>EERng_T0</f>
        <v>0.9</v>
      </c>
      <c r="W14" s="163"/>
      <c r="X14" s="159"/>
      <c r="Y14" s="159"/>
      <c r="Z14" s="159"/>
      <c r="AB14">
        <f>AA12*AB12</f>
        <v>63.21</v>
      </c>
    </row>
    <row r="15" spans="1:28" x14ac:dyDescent="0.3">
      <c r="B15" t="s">
        <v>28</v>
      </c>
      <c r="C15" s="88">
        <v>89.63</v>
      </c>
      <c r="D15" s="17"/>
      <c r="E15" s="88">
        <v>89.63</v>
      </c>
      <c r="F15" s="17"/>
      <c r="G15" s="88">
        <v>89.63</v>
      </c>
      <c r="H15" s="17"/>
      <c r="I15" s="88">
        <v>89.63</v>
      </c>
      <c r="J15" s="17"/>
      <c r="K15" s="88">
        <v>89.63</v>
      </c>
      <c r="L15" s="17"/>
      <c r="M15" s="88">
        <v>89.63</v>
      </c>
      <c r="N15" s="17"/>
      <c r="O15" s="17">
        <v>89.63</v>
      </c>
      <c r="P15" s="17"/>
      <c r="Q15" s="17">
        <v>89.63</v>
      </c>
      <c r="R15" s="17">
        <v>96.5</v>
      </c>
      <c r="U15" s="1" t="s">
        <v>98</v>
      </c>
      <c r="V15" s="165">
        <f>+ED_die_T0</f>
        <v>134.47999999999999</v>
      </c>
      <c r="W15" s="165">
        <f>+CIT_die_T0</f>
        <v>90.4</v>
      </c>
      <c r="X15" s="155">
        <f>+CIA_fcg_T2</f>
        <v>79.98</v>
      </c>
      <c r="Y15" s="155">
        <f>+CIA_fcg_T1</f>
        <v>79.98</v>
      </c>
      <c r="Z15" s="155">
        <f>+CIA_fcg_T0</f>
        <v>81.89</v>
      </c>
    </row>
    <row r="16" spans="1:28" x14ac:dyDescent="0.3">
      <c r="B16" t="s">
        <v>506</v>
      </c>
      <c r="C16" s="88">
        <v>120</v>
      </c>
      <c r="D16" s="17"/>
      <c r="E16" s="88">
        <v>120</v>
      </c>
      <c r="F16" s="17"/>
      <c r="G16" s="88">
        <v>120</v>
      </c>
      <c r="H16" s="17"/>
      <c r="I16" s="88">
        <v>120</v>
      </c>
      <c r="J16" s="17"/>
      <c r="K16" s="88">
        <v>120</v>
      </c>
      <c r="L16" s="17"/>
      <c r="M16" s="88">
        <v>120</v>
      </c>
      <c r="N16" s="17"/>
      <c r="O16" s="17">
        <v>120</v>
      </c>
      <c r="P16" s="17"/>
      <c r="Q16" s="17">
        <v>123</v>
      </c>
      <c r="R16" s="17">
        <v>123</v>
      </c>
      <c r="U16" s="158" t="s">
        <v>117</v>
      </c>
      <c r="V16" s="163">
        <f>+ED_die_T0</f>
        <v>134.47999999999999</v>
      </c>
      <c r="W16" s="163">
        <f>+CIT_die_T0</f>
        <v>90.4</v>
      </c>
      <c r="X16" s="160">
        <f>+CIA_bgs_T2</f>
        <v>2.5</v>
      </c>
      <c r="Y16" s="160">
        <f>+CIA_bgs_T1</f>
        <v>0</v>
      </c>
      <c r="Z16" s="160">
        <f>+CIA_bgs_T0</f>
        <v>0</v>
      </c>
    </row>
    <row r="17" spans="1:26" x14ac:dyDescent="0.3">
      <c r="B17" t="s">
        <v>823</v>
      </c>
      <c r="C17" s="88">
        <v>126.37</v>
      </c>
      <c r="D17" s="17"/>
      <c r="E17" s="88">
        <v>126.37</v>
      </c>
      <c r="F17" s="17"/>
      <c r="G17" s="88">
        <v>126.37</v>
      </c>
      <c r="H17" s="17"/>
      <c r="I17" s="88">
        <v>126.37</v>
      </c>
      <c r="J17" s="17"/>
      <c r="K17" s="88">
        <v>126.37</v>
      </c>
      <c r="L17" s="17"/>
      <c r="M17" s="88">
        <v>126.37</v>
      </c>
      <c r="N17" s="17"/>
      <c r="O17" s="17">
        <v>126.37</v>
      </c>
      <c r="P17" s="17"/>
      <c r="Q17" s="17">
        <v>0</v>
      </c>
      <c r="R17" s="17">
        <v>0</v>
      </c>
      <c r="U17" s="1" t="s">
        <v>824</v>
      </c>
      <c r="V17" s="165">
        <f>+ED_lp_T0</f>
        <v>89.63</v>
      </c>
      <c r="W17" s="165">
        <f>+CIT_gas_T0</f>
        <v>84.92</v>
      </c>
      <c r="X17" s="155">
        <f>+CIA_lp_T2</f>
        <v>48</v>
      </c>
      <c r="Y17" s="155">
        <f>+CIA_lp_T1</f>
        <v>45</v>
      </c>
      <c r="Z17" s="155">
        <f>+CIA_lp_T0</f>
        <v>45</v>
      </c>
    </row>
    <row r="18" spans="1:26" x14ac:dyDescent="0.3">
      <c r="A18" t="s">
        <v>825</v>
      </c>
      <c r="B18" t="s">
        <v>817</v>
      </c>
      <c r="C18" s="90">
        <v>84.92</v>
      </c>
      <c r="D18" s="17"/>
      <c r="E18" s="90">
        <v>88.25</v>
      </c>
      <c r="F18" s="17"/>
      <c r="G18" s="90">
        <v>90.21</v>
      </c>
      <c r="H18" s="17"/>
      <c r="I18" s="90">
        <v>91.68</v>
      </c>
      <c r="J18" s="17"/>
      <c r="K18" s="90">
        <v>93.15</v>
      </c>
      <c r="L18" s="17"/>
      <c r="M18" s="90">
        <v>94.63</v>
      </c>
      <c r="N18" s="17"/>
      <c r="O18" s="17">
        <v>95.61</v>
      </c>
      <c r="P18" s="17"/>
      <c r="Q18" s="17">
        <v>97.16</v>
      </c>
      <c r="R18" s="17">
        <v>97.63</v>
      </c>
      <c r="U18" s="1"/>
      <c r="V18" s="1"/>
      <c r="W18" s="1"/>
      <c r="X18" s="1"/>
      <c r="Y18" s="1"/>
      <c r="Z18" s="1"/>
    </row>
    <row r="19" spans="1:26" x14ac:dyDescent="0.3">
      <c r="B19" t="s">
        <v>819</v>
      </c>
      <c r="C19" s="90">
        <v>90.4</v>
      </c>
      <c r="D19" s="17"/>
      <c r="E19" s="90">
        <v>88.87</v>
      </c>
      <c r="F19" s="17"/>
      <c r="G19" s="90">
        <v>90.84</v>
      </c>
      <c r="H19" s="17"/>
      <c r="I19" s="90">
        <v>92.32</v>
      </c>
      <c r="J19" s="17"/>
      <c r="K19" s="90">
        <v>93.81</v>
      </c>
      <c r="L19" s="17"/>
      <c r="M19" s="90">
        <v>95.29</v>
      </c>
      <c r="N19" s="17"/>
      <c r="O19" s="17">
        <v>96.27</v>
      </c>
      <c r="P19" s="17"/>
      <c r="Q19" s="17">
        <v>98.12</v>
      </c>
      <c r="R19" s="17">
        <v>98.64</v>
      </c>
      <c r="U19" s="154" t="s">
        <v>826</v>
      </c>
      <c r="V19" s="1"/>
      <c r="W19" s="1"/>
      <c r="X19" s="1"/>
      <c r="Y19" s="1"/>
      <c r="Z19" s="1"/>
    </row>
    <row r="20" spans="1:26" x14ac:dyDescent="0.3">
      <c r="B20" t="s">
        <v>823</v>
      </c>
      <c r="C20" s="90">
        <v>88.21</v>
      </c>
      <c r="D20" s="17"/>
      <c r="E20" s="90">
        <v>88.87</v>
      </c>
      <c r="F20" s="17"/>
      <c r="G20" s="90">
        <v>90.8</v>
      </c>
      <c r="H20" s="17"/>
      <c r="I20" s="90">
        <v>90.8</v>
      </c>
      <c r="J20" s="17"/>
      <c r="K20" s="90">
        <v>90.8</v>
      </c>
      <c r="L20" s="17"/>
      <c r="M20" s="90">
        <v>90.8</v>
      </c>
      <c r="N20" s="17"/>
      <c r="O20" s="17">
        <v>90.8</v>
      </c>
      <c r="P20" s="17"/>
      <c r="Q20" s="17"/>
      <c r="R20" s="17"/>
      <c r="U20" s="1"/>
      <c r="V20" s="1"/>
      <c r="W20" s="1"/>
      <c r="X20" s="1"/>
      <c r="Y20" s="1"/>
      <c r="Z20" s="1"/>
    </row>
    <row r="21" spans="1:26" x14ac:dyDescent="0.3">
      <c r="A21" t="s">
        <v>827</v>
      </c>
      <c r="B21" t="s">
        <v>817</v>
      </c>
      <c r="C21" s="92">
        <v>98.12</v>
      </c>
      <c r="D21" s="17"/>
      <c r="E21" s="92">
        <v>100.14</v>
      </c>
      <c r="F21" s="17"/>
      <c r="G21" s="92">
        <v>100.14</v>
      </c>
      <c r="H21" s="17"/>
      <c r="I21" s="92">
        <v>100.14</v>
      </c>
      <c r="J21" s="17"/>
      <c r="K21" s="92">
        <v>100.14</v>
      </c>
      <c r="L21" s="17"/>
      <c r="M21" s="92">
        <v>100.14</v>
      </c>
      <c r="N21" s="17"/>
      <c r="O21" s="17">
        <v>100.14</v>
      </c>
      <c r="P21" s="17"/>
      <c r="Q21" s="17">
        <v>98.64</v>
      </c>
      <c r="R21" s="17">
        <v>98.62</v>
      </c>
    </row>
    <row r="22" spans="1:26" x14ac:dyDescent="0.3">
      <c r="B22" t="s">
        <v>818</v>
      </c>
      <c r="C22" s="92">
        <v>96.5</v>
      </c>
      <c r="D22" s="17"/>
      <c r="E22" s="92">
        <v>98.06</v>
      </c>
      <c r="F22" s="17"/>
      <c r="G22" s="92">
        <v>98.06</v>
      </c>
      <c r="H22" s="17"/>
      <c r="I22" s="92">
        <v>98.06</v>
      </c>
      <c r="J22" s="17"/>
      <c r="K22" s="92">
        <v>98.06</v>
      </c>
      <c r="L22" s="17"/>
      <c r="M22" s="92">
        <v>98.16</v>
      </c>
      <c r="N22" s="17"/>
      <c r="O22" s="17">
        <v>100.14</v>
      </c>
      <c r="P22" s="17"/>
      <c r="Q22" s="17">
        <v>100.77</v>
      </c>
      <c r="R22" s="17">
        <v>100.77</v>
      </c>
    </row>
    <row r="23" spans="1:26" x14ac:dyDescent="0.3">
      <c r="B23" t="s">
        <v>82</v>
      </c>
      <c r="C23" s="92">
        <v>47.5</v>
      </c>
      <c r="D23" s="92">
        <v>48</v>
      </c>
      <c r="E23" s="92">
        <v>50</v>
      </c>
      <c r="F23" s="92">
        <v>50.5</v>
      </c>
      <c r="G23" s="92">
        <v>50</v>
      </c>
      <c r="H23" s="92">
        <v>51</v>
      </c>
      <c r="I23" s="92">
        <v>50</v>
      </c>
      <c r="J23" s="92">
        <v>52</v>
      </c>
      <c r="K23" s="92">
        <v>46.5</v>
      </c>
      <c r="L23" s="92">
        <v>49</v>
      </c>
      <c r="M23" s="92">
        <v>47.5</v>
      </c>
      <c r="N23" s="92">
        <v>52.83</v>
      </c>
      <c r="O23" s="17">
        <v>57.76</v>
      </c>
      <c r="P23" s="17"/>
      <c r="Q23" s="17">
        <v>59.01863095238096</v>
      </c>
      <c r="R23" s="17">
        <v>60.877499999999998</v>
      </c>
      <c r="U23" s="223" t="s">
        <v>828</v>
      </c>
      <c r="V23" s="223"/>
      <c r="W23" s="223"/>
    </row>
    <row r="24" spans="1:26" x14ac:dyDescent="0.3">
      <c r="B24" t="s">
        <v>819</v>
      </c>
      <c r="C24" s="92">
        <v>104.92</v>
      </c>
      <c r="D24" s="17"/>
      <c r="E24" s="92">
        <v>100.74</v>
      </c>
      <c r="F24" s="17"/>
      <c r="G24" s="92">
        <v>100.74</v>
      </c>
      <c r="H24" s="17"/>
      <c r="I24" s="92">
        <v>100.74</v>
      </c>
      <c r="J24" s="17"/>
      <c r="K24" s="92">
        <v>100.74</v>
      </c>
      <c r="L24" s="17"/>
      <c r="M24" s="92">
        <v>100.74</v>
      </c>
      <c r="N24" s="17"/>
      <c r="O24" s="17">
        <v>100.74</v>
      </c>
      <c r="P24" s="17"/>
      <c r="Q24" s="17">
        <v>101.65</v>
      </c>
      <c r="R24" s="17">
        <v>99.64</v>
      </c>
      <c r="U24" t="s">
        <v>829</v>
      </c>
      <c r="V24" t="s">
        <v>830</v>
      </c>
    </row>
    <row r="25" spans="1:26" x14ac:dyDescent="0.3">
      <c r="B25" t="s">
        <v>18</v>
      </c>
      <c r="C25" s="92">
        <v>42.5</v>
      </c>
      <c r="D25" s="92">
        <v>43.5</v>
      </c>
      <c r="E25" s="92">
        <v>43</v>
      </c>
      <c r="F25" s="92">
        <v>44</v>
      </c>
      <c r="G25" s="92">
        <v>40.5</v>
      </c>
      <c r="H25" s="92">
        <v>41</v>
      </c>
      <c r="I25" s="92">
        <v>39</v>
      </c>
      <c r="J25" s="92">
        <v>40</v>
      </c>
      <c r="K25" s="92">
        <v>31.5</v>
      </c>
      <c r="L25" s="92">
        <v>36</v>
      </c>
      <c r="M25" s="92">
        <v>26.5</v>
      </c>
      <c r="N25" s="92">
        <v>32.596249999999998</v>
      </c>
      <c r="O25" s="17">
        <v>35.4</v>
      </c>
      <c r="P25" s="17"/>
      <c r="Q25" s="17">
        <v>47.09</v>
      </c>
      <c r="R25" s="17">
        <v>45.230000000000004</v>
      </c>
      <c r="U25" t="s">
        <v>831</v>
      </c>
      <c r="V25" t="s">
        <v>832</v>
      </c>
    </row>
    <row r="26" spans="1:26" x14ac:dyDescent="0.3">
      <c r="B26" t="s">
        <v>117</v>
      </c>
      <c r="C26" s="92">
        <v>0</v>
      </c>
      <c r="D26" s="92">
        <v>0</v>
      </c>
      <c r="E26" s="92">
        <v>0</v>
      </c>
      <c r="F26" s="92">
        <v>2.5</v>
      </c>
      <c r="G26" s="92">
        <v>2.5</v>
      </c>
      <c r="H26" s="92">
        <v>5</v>
      </c>
      <c r="I26" s="92">
        <v>0</v>
      </c>
      <c r="J26" s="92">
        <v>12</v>
      </c>
      <c r="K26" s="92">
        <v>49</v>
      </c>
      <c r="L26" s="92">
        <v>49</v>
      </c>
      <c r="M26" s="92">
        <v>49</v>
      </c>
      <c r="N26" s="92">
        <v>49</v>
      </c>
      <c r="O26" s="17">
        <v>50</v>
      </c>
      <c r="P26" s="17"/>
      <c r="Q26" s="17">
        <v>35</v>
      </c>
      <c r="R26" s="17">
        <v>35</v>
      </c>
      <c r="U26" t="s">
        <v>833</v>
      </c>
      <c r="V26" t="s">
        <v>834</v>
      </c>
    </row>
    <row r="27" spans="1:26" x14ac:dyDescent="0.3">
      <c r="B27" t="s">
        <v>19</v>
      </c>
      <c r="C27" s="92">
        <v>37</v>
      </c>
      <c r="D27" s="92">
        <v>36</v>
      </c>
      <c r="E27" s="92">
        <v>39</v>
      </c>
      <c r="F27" s="92">
        <v>39</v>
      </c>
      <c r="G27" s="92">
        <v>41.45</v>
      </c>
      <c r="H27" s="92">
        <v>40.5</v>
      </c>
      <c r="I27" s="92">
        <v>34</v>
      </c>
      <c r="J27" s="92">
        <v>36</v>
      </c>
      <c r="K27" s="92">
        <v>34.75</v>
      </c>
      <c r="L27" s="92">
        <v>37.5</v>
      </c>
      <c r="M27" s="92">
        <v>27.2</v>
      </c>
      <c r="N27" s="92">
        <v>33.181249999999999</v>
      </c>
      <c r="O27" s="17">
        <v>29.165339245815588</v>
      </c>
      <c r="P27" s="17"/>
      <c r="Q27" s="17">
        <v>45.752499999999998</v>
      </c>
      <c r="R27" s="17">
        <v>39.380000000000003</v>
      </c>
    </row>
    <row r="28" spans="1:26" x14ac:dyDescent="0.3">
      <c r="B28" t="s">
        <v>21</v>
      </c>
      <c r="C28" s="92">
        <v>0</v>
      </c>
      <c r="D28" s="17"/>
      <c r="E28" s="92">
        <v>0</v>
      </c>
      <c r="F28" s="17"/>
      <c r="G28" s="92">
        <v>0</v>
      </c>
      <c r="H28" s="17"/>
      <c r="I28" s="92">
        <v>10</v>
      </c>
      <c r="J28" s="17"/>
      <c r="K28" s="92">
        <v>15</v>
      </c>
      <c r="L28" s="17"/>
      <c r="M28" s="92">
        <v>92</v>
      </c>
      <c r="N28" s="17"/>
      <c r="O28" s="17">
        <v>109.31</v>
      </c>
      <c r="P28" s="17"/>
      <c r="Q28" s="17">
        <v>120.27</v>
      </c>
      <c r="R28" s="17">
        <v>120.27</v>
      </c>
      <c r="U28" s="89" t="s">
        <v>835</v>
      </c>
      <c r="V28" s="89" t="s">
        <v>836</v>
      </c>
    </row>
    <row r="29" spans="1:26" x14ac:dyDescent="0.3">
      <c r="B29" t="s">
        <v>26</v>
      </c>
      <c r="C29" s="92">
        <v>81.89</v>
      </c>
      <c r="D29" s="17"/>
      <c r="E29" s="92">
        <v>79.98</v>
      </c>
      <c r="F29" s="17"/>
      <c r="G29" s="92">
        <v>79.98</v>
      </c>
      <c r="H29" s="17"/>
      <c r="I29" s="92">
        <v>79.98</v>
      </c>
      <c r="J29" s="17"/>
      <c r="K29" s="92">
        <v>79.98</v>
      </c>
      <c r="L29" s="17"/>
      <c r="M29" s="92">
        <v>79.98</v>
      </c>
      <c r="N29" s="17"/>
      <c r="O29" s="17">
        <v>79.98</v>
      </c>
      <c r="P29" s="17"/>
      <c r="Q29" s="17">
        <v>79.930000000000007</v>
      </c>
      <c r="R29" s="17">
        <v>79.930000000000007</v>
      </c>
      <c r="U29" s="91" t="s">
        <v>837</v>
      </c>
      <c r="V29" s="91" t="s">
        <v>838</v>
      </c>
    </row>
    <row r="30" spans="1:26" x14ac:dyDescent="0.3">
      <c r="B30" t="s">
        <v>28</v>
      </c>
      <c r="C30" s="92">
        <v>45</v>
      </c>
      <c r="D30" s="17"/>
      <c r="E30" s="92">
        <v>45</v>
      </c>
      <c r="F30" s="17"/>
      <c r="G30" s="92">
        <v>48</v>
      </c>
      <c r="H30" s="17"/>
      <c r="I30" s="92">
        <v>53</v>
      </c>
      <c r="J30" s="17"/>
      <c r="K30" s="92">
        <v>48</v>
      </c>
      <c r="L30" s="17"/>
      <c r="M30" s="92">
        <v>66.010000000000005</v>
      </c>
      <c r="N30" s="17"/>
      <c r="O30" s="17">
        <v>80.88</v>
      </c>
      <c r="P30" s="17"/>
      <c r="Q30" s="17">
        <v>83.05</v>
      </c>
      <c r="R30" s="17">
        <v>83.05</v>
      </c>
      <c r="U30" s="93" t="s">
        <v>839</v>
      </c>
      <c r="V30" s="93" t="s">
        <v>840</v>
      </c>
    </row>
    <row r="31" spans="1:26" x14ac:dyDescent="0.3">
      <c r="B31" t="s">
        <v>841</v>
      </c>
      <c r="C31" s="92"/>
      <c r="D31" s="17"/>
      <c r="E31" s="92"/>
      <c r="F31" s="17"/>
      <c r="G31" s="92"/>
      <c r="H31" s="17"/>
      <c r="I31" s="92"/>
      <c r="J31" s="17"/>
      <c r="K31" s="92"/>
      <c r="L31" s="17"/>
      <c r="M31" s="92">
        <v>100.14</v>
      </c>
      <c r="N31" s="17"/>
      <c r="O31" s="17">
        <v>100.14</v>
      </c>
      <c r="P31" s="17"/>
      <c r="Q31" s="17">
        <v>100.77</v>
      </c>
      <c r="R31" s="17">
        <v>100.77</v>
      </c>
      <c r="U31" s="102" t="s">
        <v>842</v>
      </c>
      <c r="V31" s="102" t="s">
        <v>83</v>
      </c>
    </row>
    <row r="32" spans="1:26" x14ac:dyDescent="0.3">
      <c r="A32" t="s">
        <v>843</v>
      </c>
      <c r="B32" t="s">
        <v>844</v>
      </c>
      <c r="C32" s="78">
        <v>3103</v>
      </c>
      <c r="D32" s="78">
        <v>3103</v>
      </c>
      <c r="E32" s="78">
        <v>3103</v>
      </c>
      <c r="F32" s="78">
        <v>3103</v>
      </c>
      <c r="G32" s="78">
        <v>3103</v>
      </c>
      <c r="H32" s="78">
        <v>3103</v>
      </c>
      <c r="I32" s="78">
        <v>3102.5</v>
      </c>
      <c r="J32" s="78">
        <v>3102.5</v>
      </c>
      <c r="K32" s="78">
        <v>3102.5</v>
      </c>
      <c r="L32" s="78">
        <v>3102.5</v>
      </c>
      <c r="M32" s="78">
        <v>3102.5</v>
      </c>
      <c r="N32" s="78">
        <v>3102.5</v>
      </c>
      <c r="O32" s="17">
        <v>3102.5</v>
      </c>
      <c r="P32" s="17"/>
      <c r="Q32" s="17">
        <v>3102.5</v>
      </c>
      <c r="R32" s="17">
        <v>3102.5</v>
      </c>
      <c r="U32" s="95" t="s">
        <v>845</v>
      </c>
      <c r="V32" s="95" t="s">
        <v>846</v>
      </c>
    </row>
    <row r="33" spans="1:24" x14ac:dyDescent="0.3">
      <c r="B33" t="s">
        <v>847</v>
      </c>
      <c r="C33" s="96">
        <v>3.4</v>
      </c>
      <c r="D33" s="96"/>
      <c r="E33" s="96">
        <v>3.4</v>
      </c>
      <c r="F33" s="96"/>
      <c r="G33" s="96">
        <v>3.4</v>
      </c>
      <c r="H33" s="96"/>
      <c r="I33" s="96">
        <v>3.4</v>
      </c>
      <c r="J33" s="96"/>
      <c r="K33" s="96">
        <v>3.4</v>
      </c>
      <c r="L33" s="96"/>
      <c r="M33" s="96">
        <v>3.4</v>
      </c>
      <c r="N33" s="96"/>
      <c r="O33" s="17">
        <v>3.4</v>
      </c>
      <c r="P33" s="17"/>
      <c r="Q33" s="17">
        <v>3.4</v>
      </c>
      <c r="R33" s="17">
        <v>3.4</v>
      </c>
    </row>
    <row r="34" spans="1:24" x14ac:dyDescent="0.3">
      <c r="B34" t="s">
        <v>848</v>
      </c>
      <c r="C34" s="96">
        <v>0.9</v>
      </c>
      <c r="D34" s="96"/>
      <c r="E34" s="96">
        <v>0.9</v>
      </c>
      <c r="F34" s="96"/>
      <c r="G34" s="96">
        <v>0.9</v>
      </c>
      <c r="H34" s="96"/>
      <c r="I34" s="96">
        <v>0.9</v>
      </c>
      <c r="J34" s="96"/>
      <c r="K34" s="96">
        <v>0.9</v>
      </c>
      <c r="L34" s="96"/>
      <c r="M34" s="96">
        <v>0.9</v>
      </c>
      <c r="N34" s="96"/>
      <c r="O34" s="17">
        <v>0.9</v>
      </c>
      <c r="P34" s="17"/>
      <c r="Q34" s="17">
        <v>0.9</v>
      </c>
      <c r="R34" s="17">
        <v>0.9</v>
      </c>
      <c r="U34" t="s">
        <v>849</v>
      </c>
      <c r="V34" t="s">
        <v>850</v>
      </c>
    </row>
    <row r="35" spans="1:24" x14ac:dyDescent="0.3">
      <c r="A35" t="s">
        <v>846</v>
      </c>
      <c r="B35" t="s">
        <v>817</v>
      </c>
      <c r="C35" s="19"/>
      <c r="D35" s="19"/>
      <c r="E35" s="19"/>
      <c r="F35" s="19"/>
      <c r="G35" s="19"/>
      <c r="H35" s="19"/>
      <c r="I35" s="19"/>
      <c r="J35" s="19"/>
      <c r="K35" s="19"/>
      <c r="L35" s="19"/>
      <c r="M35" s="19">
        <v>0.10299999999999999</v>
      </c>
      <c r="N35" s="19">
        <v>-0.106</v>
      </c>
      <c r="O35" s="19">
        <v>4.8945290938999996E-3</v>
      </c>
      <c r="P35" s="19">
        <v>4.5776239147999999E-3</v>
      </c>
      <c r="Q35" s="19"/>
      <c r="R35" s="19"/>
      <c r="U35" t="s">
        <v>851</v>
      </c>
      <c r="V35" t="s">
        <v>82</v>
      </c>
    </row>
    <row r="36" spans="1:24" x14ac:dyDescent="0.3">
      <c r="B36" t="s">
        <v>819</v>
      </c>
      <c r="C36" s="19"/>
      <c r="D36" s="19"/>
      <c r="E36" s="19"/>
      <c r="F36" s="19"/>
      <c r="G36" s="19"/>
      <c r="H36" s="19"/>
      <c r="I36" s="19"/>
      <c r="J36" s="19"/>
      <c r="K36" s="19"/>
      <c r="L36" s="19"/>
      <c r="M36" s="19">
        <v>4.6262661114707893E-2</v>
      </c>
      <c r="N36" s="19">
        <v>-3.1046501075563837E-2</v>
      </c>
      <c r="O36" s="19">
        <v>4.4104026435999996E-3</v>
      </c>
      <c r="P36" s="19">
        <v>-1.556351194E-2</v>
      </c>
      <c r="Q36" s="19"/>
      <c r="R36" s="19"/>
      <c r="U36" t="s">
        <v>852</v>
      </c>
      <c r="V36" s="17" t="s">
        <v>18</v>
      </c>
      <c r="W36" s="17"/>
    </row>
    <row r="37" spans="1:24" x14ac:dyDescent="0.3">
      <c r="B37" t="s">
        <v>28</v>
      </c>
      <c r="C37" s="94">
        <v>0.12</v>
      </c>
      <c r="D37" s="94">
        <v>0.18</v>
      </c>
      <c r="E37" s="94">
        <v>0.12</v>
      </c>
      <c r="F37" s="94">
        <v>0.18</v>
      </c>
      <c r="G37" s="94">
        <v>0.18</v>
      </c>
      <c r="H37" s="94">
        <v>0.25</v>
      </c>
      <c r="I37" s="94">
        <v>0.25</v>
      </c>
      <c r="J37" s="94">
        <v>0.25</v>
      </c>
      <c r="K37" s="94">
        <v>0.7</v>
      </c>
      <c r="L37" s="94">
        <v>0.5</v>
      </c>
      <c r="M37" s="94">
        <v>0.7</v>
      </c>
      <c r="N37" s="94">
        <v>1</v>
      </c>
      <c r="O37" s="19">
        <v>1</v>
      </c>
      <c r="P37" s="19">
        <v>2</v>
      </c>
      <c r="Q37" s="19"/>
      <c r="R37" s="19"/>
      <c r="U37" t="s">
        <v>853</v>
      </c>
      <c r="V37" t="s">
        <v>87</v>
      </c>
      <c r="W37" s="17"/>
    </row>
    <row r="38" spans="1:24" x14ac:dyDescent="0.3">
      <c r="B38" t="s">
        <v>20</v>
      </c>
      <c r="C38" s="94">
        <v>0.15</v>
      </c>
      <c r="D38" s="94">
        <v>0.1</v>
      </c>
      <c r="E38" s="94">
        <v>0.25</v>
      </c>
      <c r="F38" s="94">
        <v>0.35</v>
      </c>
      <c r="G38" s="94">
        <v>0.25</v>
      </c>
      <c r="H38" s="94">
        <v>0.35</v>
      </c>
      <c r="I38" s="94">
        <v>0.5</v>
      </c>
      <c r="J38" s="94">
        <v>0.5</v>
      </c>
      <c r="K38" s="94">
        <v>0.65</v>
      </c>
      <c r="L38" s="94">
        <v>0.5</v>
      </c>
      <c r="M38" s="94">
        <v>0.75</v>
      </c>
      <c r="N38" s="94">
        <v>0.5</v>
      </c>
      <c r="O38" s="19">
        <v>0.01</v>
      </c>
      <c r="P38" s="19">
        <v>0.01</v>
      </c>
      <c r="Q38" s="19"/>
      <c r="R38" s="19"/>
      <c r="U38" t="s">
        <v>854</v>
      </c>
      <c r="V38" t="s">
        <v>855</v>
      </c>
    </row>
    <row r="39" spans="1:24" x14ac:dyDescent="0.3">
      <c r="B39" t="s">
        <v>856</v>
      </c>
      <c r="C39" s="94">
        <v>2.5000000000000001E-2</v>
      </c>
      <c r="D39" s="94">
        <v>3.5000000000000003E-2</v>
      </c>
      <c r="E39" s="94">
        <v>6.5000000000000002E-2</v>
      </c>
      <c r="F39" s="94">
        <v>0.08</v>
      </c>
      <c r="G39" s="94">
        <v>0.15</v>
      </c>
      <c r="H39" s="94">
        <v>0.1</v>
      </c>
      <c r="I39" s="94">
        <v>0.12</v>
      </c>
      <c r="J39" s="94">
        <v>0.1</v>
      </c>
      <c r="K39" s="94">
        <v>0.35</v>
      </c>
      <c r="L39" s="94">
        <v>0.25</v>
      </c>
      <c r="M39" s="94">
        <v>7.0000000000000007E-2</v>
      </c>
      <c r="N39" s="94">
        <v>0.1</v>
      </c>
      <c r="O39" s="19">
        <v>6.5668580803999996E-2</v>
      </c>
      <c r="P39" s="19">
        <v>0.14299109235999999</v>
      </c>
      <c r="Q39" s="19"/>
      <c r="R39" s="19"/>
      <c r="U39" t="s">
        <v>857</v>
      </c>
      <c r="V39" s="17" t="s">
        <v>858</v>
      </c>
      <c r="X39" s="17"/>
    </row>
    <row r="40" spans="1:24" x14ac:dyDescent="0.3">
      <c r="A40" t="s">
        <v>83</v>
      </c>
      <c r="B40" t="s">
        <v>82</v>
      </c>
      <c r="C40" s="211">
        <v>0.10199999999999999</v>
      </c>
      <c r="D40" s="211">
        <v>0.10199999999999999</v>
      </c>
      <c r="E40" s="101">
        <v>0.10199999999999999</v>
      </c>
      <c r="F40" s="101">
        <v>0.10199999999999999</v>
      </c>
      <c r="G40" s="101">
        <v>0.10150000000000001</v>
      </c>
      <c r="H40" s="101">
        <v>0.10100000000000001</v>
      </c>
      <c r="I40" s="101">
        <v>0.10199999999999999</v>
      </c>
      <c r="J40" s="101">
        <v>0.10199999999999999</v>
      </c>
      <c r="K40" s="101">
        <v>0.10100000000000001</v>
      </c>
      <c r="L40" s="101">
        <v>0.10100000000000001</v>
      </c>
      <c r="M40" s="101">
        <v>0.10100000000000001</v>
      </c>
      <c r="N40" s="101">
        <v>0.10100000000000001</v>
      </c>
      <c r="O40" s="19">
        <v>0.10100000000000001</v>
      </c>
      <c r="P40" s="19"/>
      <c r="Q40" s="19"/>
      <c r="R40" s="19"/>
      <c r="U40" t="s">
        <v>859</v>
      </c>
      <c r="V40" t="s">
        <v>860</v>
      </c>
    </row>
    <row r="41" spans="1:24" x14ac:dyDescent="0.3">
      <c r="B41" t="s">
        <v>18</v>
      </c>
      <c r="C41" s="211">
        <v>0.115</v>
      </c>
      <c r="D41" s="211">
        <v>0.105</v>
      </c>
      <c r="E41" s="101">
        <v>0.105</v>
      </c>
      <c r="F41" s="101">
        <v>0.10199999999999999</v>
      </c>
      <c r="G41" s="101">
        <v>9.8000000000000004E-2</v>
      </c>
      <c r="H41" s="101">
        <v>9.5000000000000001E-2</v>
      </c>
      <c r="I41" s="101">
        <v>0.11</v>
      </c>
      <c r="J41" s="101">
        <v>0.1</v>
      </c>
      <c r="K41" s="101">
        <v>0.105</v>
      </c>
      <c r="L41" s="101">
        <v>9.8000000000000004E-2</v>
      </c>
      <c r="M41" s="101">
        <v>9.6000000000000002E-2</v>
      </c>
      <c r="N41" s="101">
        <v>8.5999999999999993E-2</v>
      </c>
      <c r="O41" s="19">
        <v>6.9000000000000006E-2</v>
      </c>
      <c r="P41" s="19"/>
      <c r="Q41" s="19"/>
      <c r="R41" s="19"/>
      <c r="U41" t="s">
        <v>861</v>
      </c>
      <c r="V41" t="s">
        <v>117</v>
      </c>
    </row>
    <row r="42" spans="1:24" x14ac:dyDescent="0.3">
      <c r="B42" t="s">
        <v>117</v>
      </c>
      <c r="C42" s="211">
        <v>0.99</v>
      </c>
      <c r="D42" s="211">
        <v>0.99</v>
      </c>
      <c r="E42" s="101">
        <v>0.99</v>
      </c>
      <c r="F42" s="101">
        <v>0.99</v>
      </c>
      <c r="G42" s="101">
        <v>0.97499999999999998</v>
      </c>
      <c r="H42" s="101">
        <v>0.95</v>
      </c>
      <c r="I42" s="101">
        <v>0.95</v>
      </c>
      <c r="J42" s="101">
        <v>0.92500000000000004</v>
      </c>
      <c r="K42" s="101">
        <v>0.9</v>
      </c>
      <c r="L42" s="101">
        <v>0.875</v>
      </c>
      <c r="M42" s="101">
        <v>0.75</v>
      </c>
      <c r="N42" s="101">
        <v>0.67500000000000004</v>
      </c>
      <c r="O42" s="19">
        <v>0.7</v>
      </c>
      <c r="P42" s="19"/>
      <c r="Q42" s="19"/>
      <c r="R42" s="19"/>
      <c r="U42" t="s">
        <v>862</v>
      </c>
      <c r="V42" t="s">
        <v>140</v>
      </c>
    </row>
    <row r="43" spans="1:24" x14ac:dyDescent="0.3">
      <c r="B43" t="s">
        <v>19</v>
      </c>
      <c r="C43" s="211">
        <v>0.25</v>
      </c>
      <c r="D43" s="211">
        <v>0.2</v>
      </c>
      <c r="E43" s="101">
        <v>0.25</v>
      </c>
      <c r="F43" s="101">
        <v>0.19</v>
      </c>
      <c r="G43" s="101">
        <v>0.1</v>
      </c>
      <c r="H43" s="101">
        <v>0.08</v>
      </c>
      <c r="I43" s="101">
        <v>3.5000000000000003E-2</v>
      </c>
      <c r="J43" s="101">
        <v>2.5000000000000001E-2</v>
      </c>
      <c r="K43" s="101">
        <v>0.06</v>
      </c>
      <c r="L43" s="101">
        <v>0.03</v>
      </c>
      <c r="M43" s="101">
        <v>7.2999999999999995E-2</v>
      </c>
      <c r="N43" s="101">
        <v>4.2000000000000003E-2</v>
      </c>
      <c r="O43" s="19">
        <v>3.5000000000000003E-2</v>
      </c>
      <c r="P43" s="19"/>
      <c r="Q43" s="19"/>
      <c r="R43" s="19"/>
    </row>
    <row r="44" spans="1:24" x14ac:dyDescent="0.3">
      <c r="B44" t="s">
        <v>28</v>
      </c>
      <c r="C44" s="211">
        <v>0.25</v>
      </c>
      <c r="D44" s="211">
        <v>0.2</v>
      </c>
      <c r="E44" s="101">
        <v>0.4</v>
      </c>
      <c r="F44" s="101">
        <v>0.35</v>
      </c>
      <c r="G44" s="101">
        <v>0.35</v>
      </c>
      <c r="H44" s="101">
        <v>0.3</v>
      </c>
      <c r="I44" s="101"/>
      <c r="J44" s="101">
        <v>0.2</v>
      </c>
      <c r="K44" s="101"/>
      <c r="L44" s="101"/>
      <c r="M44" s="101"/>
      <c r="N44" s="101"/>
      <c r="O44" s="19"/>
      <c r="P44" s="19"/>
      <c r="Q44" s="19"/>
      <c r="R44" s="19"/>
      <c r="U44" s="74" t="s">
        <v>863</v>
      </c>
      <c r="V44" s="74" t="s">
        <v>864</v>
      </c>
    </row>
    <row r="45" spans="1:24" x14ac:dyDescent="0.3">
      <c r="U45" s="97" t="s">
        <v>865</v>
      </c>
      <c r="V45" s="97" t="s">
        <v>866</v>
      </c>
    </row>
  </sheetData>
  <mergeCells count="4">
    <mergeCell ref="U23:W23"/>
    <mergeCell ref="X4:Z4"/>
    <mergeCell ref="V4:V5"/>
    <mergeCell ref="W4:W5"/>
  </mergeCell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57"/>
  <sheetViews>
    <sheetView zoomScale="85" zoomScaleNormal="85" workbookViewId="0">
      <pane xSplit="4" ySplit="1" topLeftCell="E7" activePane="bottomRight" state="frozen"/>
      <selection pane="topRight" activeCell="E1" sqref="E1"/>
      <selection pane="bottomLeft" activeCell="A2" sqref="A2"/>
      <selection pane="bottomRight" activeCell="J23" sqref="J23:O24"/>
    </sheetView>
  </sheetViews>
  <sheetFormatPr defaultRowHeight="14.4" x14ac:dyDescent="0.3"/>
  <cols>
    <col min="3" max="3" width="19.44140625" customWidth="1"/>
    <col min="4" max="4" width="16.44140625" bestFit="1" customWidth="1"/>
    <col min="5" max="5" width="28.33203125" customWidth="1"/>
  </cols>
  <sheetData>
    <row r="1" spans="1:26" x14ac:dyDescent="0.3">
      <c r="A1" t="s">
        <v>809</v>
      </c>
      <c r="B1" t="s">
        <v>3</v>
      </c>
      <c r="C1" t="s">
        <v>184</v>
      </c>
      <c r="D1" t="s">
        <v>814</v>
      </c>
      <c r="E1" t="s">
        <v>867</v>
      </c>
    </row>
    <row r="2" spans="1:26" x14ac:dyDescent="0.3">
      <c r="A2" s="182">
        <v>46023</v>
      </c>
      <c r="B2" s="15">
        <f>+A2</f>
        <v>46023</v>
      </c>
      <c r="C2" t="s">
        <v>817</v>
      </c>
      <c r="D2" t="s">
        <v>816</v>
      </c>
      <c r="E2" s="190">
        <v>122.48</v>
      </c>
      <c r="F2" t="s">
        <v>868</v>
      </c>
    </row>
    <row r="3" spans="1:26" x14ac:dyDescent="0.3">
      <c r="A3" s="15">
        <f>+A2</f>
        <v>46023</v>
      </c>
      <c r="B3" s="15">
        <f t="shared" ref="B3:B21" si="0">+A3</f>
        <v>46023</v>
      </c>
      <c r="C3" t="s">
        <v>819</v>
      </c>
      <c r="D3" t="s">
        <v>816</v>
      </c>
      <c r="E3" s="190">
        <v>134.47999999999999</v>
      </c>
      <c r="F3" t="s">
        <v>868</v>
      </c>
      <c r="H3" t="s">
        <v>869</v>
      </c>
    </row>
    <row r="4" spans="1:26" x14ac:dyDescent="0.3">
      <c r="A4" s="15">
        <f t="shared" ref="A4:A54" si="1">+A3</f>
        <v>46023</v>
      </c>
      <c r="B4" s="15">
        <f t="shared" si="0"/>
        <v>46023</v>
      </c>
      <c r="C4" t="s">
        <v>26</v>
      </c>
      <c r="D4" t="s">
        <v>816</v>
      </c>
      <c r="E4" s="190">
        <v>105.5</v>
      </c>
      <c r="F4" t="s">
        <v>868</v>
      </c>
      <c r="H4" s="47" t="s">
        <v>870</v>
      </c>
    </row>
    <row r="5" spans="1:26" x14ac:dyDescent="0.3">
      <c r="A5" s="15">
        <f t="shared" si="1"/>
        <v>46023</v>
      </c>
      <c r="B5" s="15">
        <f t="shared" si="0"/>
        <v>46023</v>
      </c>
      <c r="C5" t="s">
        <v>27</v>
      </c>
      <c r="D5" t="s">
        <v>816</v>
      </c>
      <c r="E5" s="190">
        <v>78.83</v>
      </c>
      <c r="F5" t="s">
        <v>868</v>
      </c>
    </row>
    <row r="6" spans="1:26" x14ac:dyDescent="0.3">
      <c r="A6" s="15">
        <f t="shared" si="1"/>
        <v>46023</v>
      </c>
      <c r="B6" s="15">
        <f t="shared" si="0"/>
        <v>46023</v>
      </c>
      <c r="C6" t="s">
        <v>21</v>
      </c>
      <c r="D6" t="s">
        <v>816</v>
      </c>
      <c r="E6" s="190">
        <v>3.6</v>
      </c>
      <c r="F6" t="s">
        <v>868</v>
      </c>
    </row>
    <row r="7" spans="1:26" x14ac:dyDescent="0.3">
      <c r="A7" s="15">
        <f t="shared" si="1"/>
        <v>46023</v>
      </c>
      <c r="B7" s="15">
        <f t="shared" si="0"/>
        <v>46023</v>
      </c>
      <c r="C7" t="s">
        <v>506</v>
      </c>
      <c r="D7" t="s">
        <v>816</v>
      </c>
      <c r="E7" s="190">
        <v>120</v>
      </c>
      <c r="F7" t="s">
        <v>868</v>
      </c>
    </row>
    <row r="8" spans="1:26" x14ac:dyDescent="0.3">
      <c r="A8" s="15">
        <f t="shared" si="1"/>
        <v>46023</v>
      </c>
      <c r="B8" s="15">
        <f t="shared" si="0"/>
        <v>46023</v>
      </c>
      <c r="C8" t="s">
        <v>82</v>
      </c>
      <c r="D8" t="s">
        <v>816</v>
      </c>
      <c r="E8" s="190">
        <v>81.510000000000005</v>
      </c>
      <c r="F8" t="s">
        <v>868</v>
      </c>
    </row>
    <row r="9" spans="1:26" x14ac:dyDescent="0.3">
      <c r="A9" s="15">
        <f t="shared" si="1"/>
        <v>46023</v>
      </c>
      <c r="B9" s="15">
        <f t="shared" si="0"/>
        <v>46023</v>
      </c>
      <c r="C9" t="s">
        <v>18</v>
      </c>
      <c r="D9" t="s">
        <v>816</v>
      </c>
      <c r="E9" s="190">
        <v>126.13</v>
      </c>
      <c r="F9" t="s">
        <v>868</v>
      </c>
    </row>
    <row r="10" spans="1:26" x14ac:dyDescent="0.3">
      <c r="A10" s="15">
        <f t="shared" si="1"/>
        <v>46023</v>
      </c>
      <c r="B10" s="15">
        <f t="shared" si="0"/>
        <v>46023</v>
      </c>
      <c r="C10" t="s">
        <v>19</v>
      </c>
      <c r="D10" t="s">
        <v>816</v>
      </c>
      <c r="E10" s="190">
        <v>129.65</v>
      </c>
      <c r="F10" t="s">
        <v>868</v>
      </c>
    </row>
    <row r="11" spans="1:26" x14ac:dyDescent="0.3">
      <c r="A11" s="15">
        <f t="shared" si="1"/>
        <v>46023</v>
      </c>
      <c r="B11" s="15">
        <f t="shared" si="0"/>
        <v>46023</v>
      </c>
      <c r="C11" t="s">
        <v>28</v>
      </c>
      <c r="D11" t="s">
        <v>816</v>
      </c>
      <c r="E11" s="190">
        <v>89.63</v>
      </c>
      <c r="F11" t="s">
        <v>868</v>
      </c>
      <c r="H11" t="s">
        <v>871</v>
      </c>
    </row>
    <row r="12" spans="1:26" x14ac:dyDescent="0.3">
      <c r="A12" s="15">
        <f t="shared" si="1"/>
        <v>46023</v>
      </c>
      <c r="B12" s="15">
        <f t="shared" si="0"/>
        <v>46023</v>
      </c>
      <c r="C12" t="s">
        <v>818</v>
      </c>
      <c r="D12" t="s">
        <v>816</v>
      </c>
      <c r="E12" s="190">
        <v>122.48</v>
      </c>
      <c r="F12" t="s">
        <v>868</v>
      </c>
    </row>
    <row r="13" spans="1:26" x14ac:dyDescent="0.3">
      <c r="A13" s="15">
        <f t="shared" si="1"/>
        <v>46023</v>
      </c>
      <c r="B13" s="15">
        <f t="shared" si="0"/>
        <v>46023</v>
      </c>
      <c r="C13" t="s">
        <v>823</v>
      </c>
      <c r="D13" t="s">
        <v>816</v>
      </c>
      <c r="E13" s="190">
        <v>126.37</v>
      </c>
      <c r="F13" t="s">
        <v>868</v>
      </c>
    </row>
    <row r="14" spans="1:26" x14ac:dyDescent="0.3">
      <c r="A14" s="15">
        <f t="shared" si="1"/>
        <v>46023</v>
      </c>
      <c r="B14" s="15">
        <f t="shared" si="0"/>
        <v>46023</v>
      </c>
      <c r="C14" t="s">
        <v>817</v>
      </c>
      <c r="D14" t="s">
        <v>825</v>
      </c>
      <c r="E14" s="190">
        <v>84.92</v>
      </c>
      <c r="F14" t="s">
        <v>872</v>
      </c>
      <c r="H14" t="s">
        <v>873</v>
      </c>
    </row>
    <row r="15" spans="1:26" x14ac:dyDescent="0.3">
      <c r="A15" s="15">
        <f t="shared" si="1"/>
        <v>46023</v>
      </c>
      <c r="B15" s="15">
        <f t="shared" si="0"/>
        <v>46023</v>
      </c>
      <c r="C15" t="s">
        <v>819</v>
      </c>
      <c r="D15" t="s">
        <v>825</v>
      </c>
      <c r="E15" s="190">
        <v>90.4</v>
      </c>
      <c r="F15" t="s">
        <v>872</v>
      </c>
    </row>
    <row r="16" spans="1:26" x14ac:dyDescent="0.3">
      <c r="A16" s="15">
        <f t="shared" si="1"/>
        <v>46023</v>
      </c>
      <c r="B16" s="15">
        <f t="shared" si="0"/>
        <v>46023</v>
      </c>
      <c r="C16" t="s">
        <v>823</v>
      </c>
      <c r="D16" t="s">
        <v>825</v>
      </c>
      <c r="E16" s="190">
        <v>88.21</v>
      </c>
      <c r="F16" t="s">
        <v>872</v>
      </c>
      <c r="H16" t="s">
        <v>874</v>
      </c>
      <c r="R16" t="s">
        <v>875</v>
      </c>
      <c r="V16" t="s">
        <v>876</v>
      </c>
      <c r="Z16" t="s">
        <v>877</v>
      </c>
    </row>
    <row r="17" spans="1:28" x14ac:dyDescent="0.3">
      <c r="A17" s="15">
        <f t="shared" si="1"/>
        <v>46023</v>
      </c>
      <c r="B17" s="15">
        <f t="shared" si="0"/>
        <v>46023</v>
      </c>
      <c r="C17" t="s">
        <v>817</v>
      </c>
      <c r="D17" t="s">
        <v>827</v>
      </c>
      <c r="E17" s="190">
        <v>98.12</v>
      </c>
      <c r="F17" t="s">
        <v>872</v>
      </c>
    </row>
    <row r="18" spans="1:28" x14ac:dyDescent="0.3">
      <c r="A18" s="15">
        <f t="shared" si="1"/>
        <v>46023</v>
      </c>
      <c r="B18" s="15">
        <f t="shared" si="0"/>
        <v>46023</v>
      </c>
      <c r="C18" t="s">
        <v>819</v>
      </c>
      <c r="D18" t="s">
        <v>827</v>
      </c>
      <c r="E18" s="190">
        <v>104.92</v>
      </c>
      <c r="F18" t="s">
        <v>872</v>
      </c>
      <c r="S18" t="s">
        <v>12</v>
      </c>
      <c r="T18" t="s">
        <v>9</v>
      </c>
      <c r="V18" t="s">
        <v>82</v>
      </c>
      <c r="W18" t="s">
        <v>18</v>
      </c>
      <c r="X18" t="s">
        <v>878</v>
      </c>
      <c r="Z18" t="s">
        <v>12</v>
      </c>
      <c r="AA18" t="s">
        <v>18</v>
      </c>
      <c r="AB18" t="s">
        <v>878</v>
      </c>
    </row>
    <row r="19" spans="1:28" x14ac:dyDescent="0.3">
      <c r="A19" s="15">
        <f t="shared" si="1"/>
        <v>46023</v>
      </c>
      <c r="B19" s="15">
        <f t="shared" si="0"/>
        <v>46023</v>
      </c>
      <c r="C19" t="s">
        <v>818</v>
      </c>
      <c r="D19" t="s">
        <v>827</v>
      </c>
      <c r="E19" s="190">
        <v>96.5</v>
      </c>
      <c r="F19" t="s">
        <v>872</v>
      </c>
      <c r="R19">
        <v>2016</v>
      </c>
      <c r="S19" s="8">
        <v>98.37</v>
      </c>
      <c r="T19" s="8">
        <v>99.36</v>
      </c>
      <c r="V19" s="8">
        <f>+'CI Trend'!D18</f>
        <v>63.279508183586699</v>
      </c>
      <c r="W19" s="8">
        <f>+'CI Trend'!D19</f>
        <v>51.899744869742058</v>
      </c>
      <c r="X19" s="8">
        <f>+'CI Trend'!D20</f>
        <v>0</v>
      </c>
      <c r="Z19" s="8">
        <f>+S19-V19</f>
        <v>35.090491816413305</v>
      </c>
      <c r="AA19" s="8">
        <f>+T19-W19</f>
        <v>47.460255130257941</v>
      </c>
    </row>
    <row r="20" spans="1:28" x14ac:dyDescent="0.3">
      <c r="A20" s="15">
        <f t="shared" si="1"/>
        <v>46023</v>
      </c>
      <c r="B20" s="15">
        <f t="shared" si="0"/>
        <v>46023</v>
      </c>
      <c r="C20" t="s">
        <v>21</v>
      </c>
      <c r="D20" t="s">
        <v>827</v>
      </c>
      <c r="E20" s="193">
        <v>0</v>
      </c>
      <c r="R20">
        <v>2017</v>
      </c>
      <c r="S20" s="8">
        <v>98.13</v>
      </c>
      <c r="T20" s="8">
        <v>99.14</v>
      </c>
      <c r="V20" s="8">
        <f>+'CI Trend'!E18</f>
        <v>62.668089273542883</v>
      </c>
      <c r="W20" s="8">
        <f>+'CI Trend'!E19</f>
        <v>47.178761173694923</v>
      </c>
      <c r="X20" s="8">
        <f>+'CI Trend'!E20</f>
        <v>33.64</v>
      </c>
      <c r="Z20" s="8">
        <f t="shared" ref="Z20:AA28" si="2">+S20-V20</f>
        <v>35.461910726457113</v>
      </c>
      <c r="AA20" s="8">
        <f t="shared" si="2"/>
        <v>51.961238826305078</v>
      </c>
      <c r="AB20" s="8">
        <f>+T20-X20</f>
        <v>65.5</v>
      </c>
    </row>
    <row r="21" spans="1:28" x14ac:dyDescent="0.3">
      <c r="A21" s="15">
        <f t="shared" si="1"/>
        <v>46023</v>
      </c>
      <c r="B21" s="15">
        <f t="shared" si="0"/>
        <v>46023</v>
      </c>
      <c r="C21" t="s">
        <v>26</v>
      </c>
      <c r="D21" t="s">
        <v>827</v>
      </c>
      <c r="E21" s="190">
        <v>81.89</v>
      </c>
      <c r="F21" t="s">
        <v>872</v>
      </c>
      <c r="R21">
        <v>2018</v>
      </c>
      <c r="S21" s="8">
        <v>97.66</v>
      </c>
      <c r="T21" s="8">
        <v>98.61</v>
      </c>
      <c r="V21" s="8">
        <f>+'CI Trend'!F18</f>
        <v>60.861324184509172</v>
      </c>
      <c r="W21" s="8">
        <f>+'CI Trend'!F19</f>
        <v>45.23616850730842</v>
      </c>
      <c r="X21" s="8">
        <f>+'CI Trend'!F20</f>
        <v>39.096643567308845</v>
      </c>
      <c r="Z21" s="8">
        <f t="shared" si="2"/>
        <v>36.798675815490824</v>
      </c>
      <c r="AA21" s="8">
        <f t="shared" si="2"/>
        <v>53.373831492691579</v>
      </c>
      <c r="AB21" s="8">
        <f t="shared" ref="AB21:AB28" si="3">+T21-X21</f>
        <v>59.513356432691154</v>
      </c>
    </row>
    <row r="22" spans="1:28" x14ac:dyDescent="0.3">
      <c r="A22" s="15">
        <f t="shared" si="1"/>
        <v>46023</v>
      </c>
      <c r="B22" s="15">
        <f>+DATE(YEAR(A22)-1,1,1)</f>
        <v>45658</v>
      </c>
      <c r="C22" t="s">
        <v>117</v>
      </c>
      <c r="D22" t="s">
        <v>827</v>
      </c>
      <c r="E22" s="193">
        <v>2.5</v>
      </c>
      <c r="R22">
        <v>2019</v>
      </c>
      <c r="S22" s="8">
        <v>96.59</v>
      </c>
      <c r="T22" s="8">
        <v>97.26</v>
      </c>
      <c r="V22" s="8">
        <f>+'CI Trend'!G18</f>
        <v>58.088168657160466</v>
      </c>
      <c r="W22" s="8">
        <f>+'CI Trend'!G19</f>
        <v>38.652276935136072</v>
      </c>
      <c r="X22" s="8">
        <f>+'CI Trend'!G20</f>
        <v>30.108656695078217</v>
      </c>
      <c r="Z22" s="8">
        <f t="shared" si="2"/>
        <v>38.501831342839537</v>
      </c>
      <c r="AA22" s="8">
        <f t="shared" si="2"/>
        <v>58.607723064863933</v>
      </c>
      <c r="AB22" s="8">
        <f t="shared" si="3"/>
        <v>67.151343304921795</v>
      </c>
    </row>
    <row r="23" spans="1:28" x14ac:dyDescent="0.3">
      <c r="A23" s="15">
        <f t="shared" si="1"/>
        <v>46023</v>
      </c>
      <c r="B23" s="15">
        <f>+A23</f>
        <v>46023</v>
      </c>
      <c r="C23" t="s">
        <v>117</v>
      </c>
      <c r="D23" t="s">
        <v>827</v>
      </c>
      <c r="E23" s="193">
        <v>0</v>
      </c>
      <c r="H23" s="227"/>
      <c r="I23" s="227"/>
      <c r="J23" s="212" t="s">
        <v>879</v>
      </c>
      <c r="K23" s="212"/>
      <c r="L23" s="212"/>
      <c r="M23" s="212"/>
      <c r="N23" s="212"/>
      <c r="O23" s="212"/>
      <c r="R23">
        <v>2020</v>
      </c>
      <c r="S23" s="8">
        <v>95.61</v>
      </c>
      <c r="T23" s="8">
        <v>96.27</v>
      </c>
      <c r="V23" s="8">
        <f>+'CI Trend'!H18</f>
        <v>54.762173286391274</v>
      </c>
      <c r="W23" s="8">
        <f>+'CI Trend'!H19</f>
        <v>42.134070120242114</v>
      </c>
      <c r="X23" s="8">
        <f>+'CI Trend'!H20</f>
        <v>31.482287494200339</v>
      </c>
      <c r="Z23" s="8">
        <f t="shared" si="2"/>
        <v>40.847826713608725</v>
      </c>
      <c r="AA23" s="8">
        <f t="shared" si="2"/>
        <v>54.135929879757882</v>
      </c>
      <c r="AB23" s="8">
        <f t="shared" si="3"/>
        <v>64.787712505799661</v>
      </c>
    </row>
    <row r="24" spans="1:28" x14ac:dyDescent="0.3">
      <c r="A24" s="15">
        <f t="shared" si="1"/>
        <v>46023</v>
      </c>
      <c r="B24" s="15">
        <f>+A24</f>
        <v>46023</v>
      </c>
      <c r="C24" t="s">
        <v>28</v>
      </c>
      <c r="D24" t="s">
        <v>827</v>
      </c>
      <c r="E24" s="193">
        <v>45</v>
      </c>
      <c r="H24" s="227"/>
      <c r="I24" s="227"/>
      <c r="J24" s="212"/>
      <c r="K24" s="212"/>
      <c r="L24" s="212"/>
      <c r="M24" s="212"/>
      <c r="N24" s="212"/>
      <c r="O24" s="212"/>
      <c r="R24">
        <v>2021</v>
      </c>
      <c r="S24" s="8">
        <v>94.63</v>
      </c>
      <c r="T24" s="8">
        <v>95.29</v>
      </c>
      <c r="V24" s="8">
        <f>+'CI Trend'!I18</f>
        <v>53.719608653544384</v>
      </c>
      <c r="W24" s="8">
        <f>+'CI Trend'!I19</f>
        <v>41.818345202556273</v>
      </c>
      <c r="X24" s="8">
        <f>+'CI Trend'!I20</f>
        <v>36.96308052279371</v>
      </c>
      <c r="Z24" s="8">
        <f t="shared" si="2"/>
        <v>40.910391346455611</v>
      </c>
      <c r="AA24" s="8">
        <f t="shared" si="2"/>
        <v>53.471654797443733</v>
      </c>
      <c r="AB24" s="8">
        <f t="shared" si="3"/>
        <v>58.326919477206296</v>
      </c>
    </row>
    <row r="25" spans="1:28" x14ac:dyDescent="0.3">
      <c r="A25" s="15">
        <f t="shared" si="1"/>
        <v>46023</v>
      </c>
      <c r="B25" s="15">
        <f>+DATE(YEAR(A25)-1,1,1)</f>
        <v>45658</v>
      </c>
      <c r="C25" t="s">
        <v>82</v>
      </c>
      <c r="D25" t="s">
        <v>827</v>
      </c>
      <c r="E25" s="193">
        <v>50.5</v>
      </c>
      <c r="R25">
        <v>2022</v>
      </c>
      <c r="S25" s="8">
        <v>93.15</v>
      </c>
      <c r="T25" s="8">
        <v>93.81</v>
      </c>
      <c r="V25" s="8">
        <f>+'CI Trend'!J18</f>
        <v>53.405939492858124</v>
      </c>
      <c r="W25" s="8">
        <f>+'CI Trend'!J19</f>
        <v>41.485920114815869</v>
      </c>
      <c r="X25" s="8">
        <f>+'CI Trend'!J20</f>
        <v>39.152291668538297</v>
      </c>
      <c r="Z25" s="8">
        <f t="shared" si="2"/>
        <v>39.744060507141882</v>
      </c>
      <c r="AA25" s="8">
        <f t="shared" si="2"/>
        <v>52.324079885184133</v>
      </c>
      <c r="AB25" s="8">
        <f t="shared" si="3"/>
        <v>54.657708331461706</v>
      </c>
    </row>
    <row r="26" spans="1:28" x14ac:dyDescent="0.3">
      <c r="A26" s="15">
        <f t="shared" si="1"/>
        <v>46023</v>
      </c>
      <c r="B26" s="15">
        <f>+A26</f>
        <v>46023</v>
      </c>
      <c r="C26" t="s">
        <v>82</v>
      </c>
      <c r="D26" t="s">
        <v>827</v>
      </c>
      <c r="E26" s="194">
        <v>50</v>
      </c>
      <c r="R26">
        <v>2023</v>
      </c>
      <c r="S26" s="8">
        <v>91.68</v>
      </c>
      <c r="T26" s="8">
        <v>92.32</v>
      </c>
      <c r="V26" s="8">
        <f>+'CI Trend'!K18</f>
        <v>50.862559158228585</v>
      </c>
      <c r="W26" s="8">
        <f>+'CI Trend'!K19</f>
        <v>45.102602015261319</v>
      </c>
      <c r="X26" s="8">
        <f>+'CI Trend'!K20</f>
        <v>34.30998438270273</v>
      </c>
      <c r="Z26" s="8">
        <f t="shared" si="2"/>
        <v>40.817440841771422</v>
      </c>
      <c r="AA26" s="8">
        <f t="shared" si="2"/>
        <v>47.217397984738675</v>
      </c>
      <c r="AB26" s="8">
        <f t="shared" si="3"/>
        <v>58.010015617297263</v>
      </c>
    </row>
    <row r="27" spans="1:28" x14ac:dyDescent="0.3">
      <c r="A27" s="15">
        <f t="shared" si="1"/>
        <v>46023</v>
      </c>
      <c r="B27" s="15">
        <f>+DATE(YEAR(A27)-1,1,1)</f>
        <v>45658</v>
      </c>
      <c r="C27" t="s">
        <v>18</v>
      </c>
      <c r="D27" t="s">
        <v>827</v>
      </c>
      <c r="E27" s="194">
        <v>44</v>
      </c>
      <c r="R27">
        <v>2024</v>
      </c>
      <c r="S27" s="8">
        <v>90.21</v>
      </c>
      <c r="T27" s="8">
        <v>90.84</v>
      </c>
      <c r="V27" s="8">
        <f>+'CI Trend'!L18</f>
        <v>48.767268160834035</v>
      </c>
      <c r="W27" s="8">
        <f>+'CI Trend'!L19</f>
        <v>44.796984921395357</v>
      </c>
      <c r="X27" s="8">
        <f>+'CI Trend'!L20</f>
        <v>35.635227522563746</v>
      </c>
      <c r="Z27" s="8">
        <f t="shared" si="2"/>
        <v>41.442731839165958</v>
      </c>
      <c r="AA27" s="8">
        <f t="shared" si="2"/>
        <v>46.043015078604647</v>
      </c>
      <c r="AB27" s="8">
        <f t="shared" si="3"/>
        <v>55.204772477436258</v>
      </c>
    </row>
    <row r="28" spans="1:28" x14ac:dyDescent="0.3">
      <c r="A28" s="15">
        <f t="shared" si="1"/>
        <v>46023</v>
      </c>
      <c r="B28" s="15">
        <f>+A28</f>
        <v>46023</v>
      </c>
      <c r="C28" t="s">
        <v>18</v>
      </c>
      <c r="D28" t="s">
        <v>827</v>
      </c>
      <c r="E28" s="194">
        <v>43</v>
      </c>
      <c r="R28">
        <v>2025</v>
      </c>
      <c r="S28" s="8">
        <v>88.25</v>
      </c>
      <c r="T28" s="8">
        <v>88.87</v>
      </c>
      <c r="V28" s="8">
        <v>50</v>
      </c>
      <c r="W28" s="8">
        <v>40</v>
      </c>
      <c r="X28" s="8">
        <v>38.25</v>
      </c>
      <c r="Z28" s="8">
        <f t="shared" si="2"/>
        <v>38.25</v>
      </c>
      <c r="AA28" s="8">
        <f t="shared" si="2"/>
        <v>48.870000000000005</v>
      </c>
      <c r="AB28" s="8">
        <f t="shared" si="3"/>
        <v>50.620000000000005</v>
      </c>
    </row>
    <row r="29" spans="1:28" x14ac:dyDescent="0.3">
      <c r="A29" s="15">
        <f t="shared" si="1"/>
        <v>46023</v>
      </c>
      <c r="B29" s="15">
        <f>+DATE(YEAR(A29)-1,1,1)</f>
        <v>45658</v>
      </c>
      <c r="C29" t="s">
        <v>19</v>
      </c>
      <c r="D29" t="s">
        <v>827</v>
      </c>
      <c r="E29" s="194">
        <v>39</v>
      </c>
      <c r="R29">
        <v>2026</v>
      </c>
      <c r="S29" s="8">
        <v>84.92</v>
      </c>
      <c r="T29" s="8">
        <v>90.4</v>
      </c>
    </row>
    <row r="30" spans="1:28" x14ac:dyDescent="0.3">
      <c r="A30" s="15">
        <f t="shared" si="1"/>
        <v>46023</v>
      </c>
      <c r="B30" s="15">
        <f>+A30</f>
        <v>46023</v>
      </c>
      <c r="C30" t="s">
        <v>19</v>
      </c>
      <c r="D30" t="s">
        <v>827</v>
      </c>
      <c r="E30" s="194">
        <v>39</v>
      </c>
      <c r="R30">
        <v>2027</v>
      </c>
      <c r="S30" s="8">
        <v>82.99</v>
      </c>
      <c r="T30" s="8">
        <v>88.34</v>
      </c>
    </row>
    <row r="31" spans="1:28" x14ac:dyDescent="0.3">
      <c r="A31" s="15">
        <f t="shared" si="1"/>
        <v>46023</v>
      </c>
      <c r="B31" s="15">
        <f>+DATE(YEAR(A31)-1,1,1)</f>
        <v>45658</v>
      </c>
      <c r="C31" t="s">
        <v>880</v>
      </c>
      <c r="D31" t="s">
        <v>843</v>
      </c>
      <c r="E31" s="195">
        <v>3103</v>
      </c>
      <c r="R31">
        <v>2028</v>
      </c>
      <c r="S31" s="8">
        <v>81.06</v>
      </c>
      <c r="T31" s="8">
        <v>86.29</v>
      </c>
    </row>
    <row r="32" spans="1:28" x14ac:dyDescent="0.3">
      <c r="A32" s="15">
        <f t="shared" si="1"/>
        <v>46023</v>
      </c>
      <c r="B32" s="15">
        <f>+A32</f>
        <v>46023</v>
      </c>
      <c r="C32" t="s">
        <v>880</v>
      </c>
      <c r="D32" t="s">
        <v>843</v>
      </c>
      <c r="E32" s="195">
        <v>3103</v>
      </c>
      <c r="R32">
        <v>2029</v>
      </c>
      <c r="S32" s="8">
        <v>79.13</v>
      </c>
      <c r="T32" s="8">
        <v>84.24</v>
      </c>
    </row>
    <row r="33" spans="1:20" x14ac:dyDescent="0.3">
      <c r="A33" s="15">
        <f t="shared" si="1"/>
        <v>46023</v>
      </c>
      <c r="B33" s="15">
        <f>+A33</f>
        <v>46023</v>
      </c>
      <c r="C33" t="s">
        <v>847</v>
      </c>
      <c r="D33" t="s">
        <v>843</v>
      </c>
      <c r="E33" s="97">
        <v>3.4</v>
      </c>
      <c r="F33" t="s">
        <v>881</v>
      </c>
      <c r="H33" t="s">
        <v>882</v>
      </c>
      <c r="R33">
        <v>2030</v>
      </c>
      <c r="S33" s="8">
        <v>77.2</v>
      </c>
      <c r="T33" s="8">
        <v>82.18</v>
      </c>
    </row>
    <row r="34" spans="1:20" x14ac:dyDescent="0.3">
      <c r="A34" s="15">
        <f t="shared" si="1"/>
        <v>46023</v>
      </c>
      <c r="B34" s="15">
        <f>+A34</f>
        <v>46023</v>
      </c>
      <c r="C34" t="s">
        <v>848</v>
      </c>
      <c r="D34" t="s">
        <v>843</v>
      </c>
      <c r="E34" s="97">
        <v>0.9</v>
      </c>
      <c r="F34" t="s">
        <v>881</v>
      </c>
      <c r="R34">
        <v>2031</v>
      </c>
      <c r="S34" s="8">
        <v>73.92</v>
      </c>
      <c r="T34" s="8">
        <v>78.69</v>
      </c>
    </row>
    <row r="35" spans="1:20" x14ac:dyDescent="0.3">
      <c r="A35" s="15">
        <f t="shared" si="1"/>
        <v>46023</v>
      </c>
      <c r="B35" s="15">
        <f>+DATE(YEAR(A35)-1,1,1)</f>
        <v>45658</v>
      </c>
      <c r="C35" t="s">
        <v>12</v>
      </c>
      <c r="D35" t="s">
        <v>846</v>
      </c>
      <c r="E35" s="83"/>
      <c r="R35">
        <v>2032</v>
      </c>
      <c r="S35" s="8">
        <v>70.64</v>
      </c>
      <c r="T35" s="8">
        <v>75.2</v>
      </c>
    </row>
    <row r="36" spans="1:20" x14ac:dyDescent="0.3">
      <c r="A36" s="15">
        <f t="shared" si="1"/>
        <v>46023</v>
      </c>
      <c r="B36" s="15">
        <f>+A36</f>
        <v>46023</v>
      </c>
      <c r="C36" t="s">
        <v>12</v>
      </c>
      <c r="D36" t="s">
        <v>846</v>
      </c>
      <c r="E36" s="83"/>
      <c r="R36">
        <v>2033</v>
      </c>
      <c r="S36" s="8">
        <v>67.36</v>
      </c>
      <c r="T36" s="8">
        <v>71.7</v>
      </c>
    </row>
    <row r="37" spans="1:20" x14ac:dyDescent="0.3">
      <c r="A37" s="15">
        <f t="shared" si="1"/>
        <v>46023</v>
      </c>
      <c r="B37" s="15">
        <f>+DATE(YEAR(A37)-1,1,1)</f>
        <v>45658</v>
      </c>
      <c r="C37" t="s">
        <v>9</v>
      </c>
      <c r="D37" t="s">
        <v>846</v>
      </c>
      <c r="E37" s="83"/>
      <c r="R37">
        <v>2034</v>
      </c>
      <c r="S37" s="8">
        <v>64.08</v>
      </c>
      <c r="T37" s="8">
        <v>68.209999999999994</v>
      </c>
    </row>
    <row r="38" spans="1:20" x14ac:dyDescent="0.3">
      <c r="A38" s="15">
        <f t="shared" si="1"/>
        <v>46023</v>
      </c>
      <c r="B38" s="15">
        <f>+A38</f>
        <v>46023</v>
      </c>
      <c r="C38" t="s">
        <v>9</v>
      </c>
      <c r="D38" t="s">
        <v>846</v>
      </c>
      <c r="E38" s="83"/>
      <c r="R38">
        <v>2035</v>
      </c>
      <c r="S38" s="8">
        <v>60.8</v>
      </c>
      <c r="T38" s="8">
        <v>64.72</v>
      </c>
    </row>
    <row r="39" spans="1:20" x14ac:dyDescent="0.3">
      <c r="A39" s="15">
        <f t="shared" si="1"/>
        <v>46023</v>
      </c>
      <c r="B39" s="15">
        <f>+DATE(YEAR(A39)-1,1,1)</f>
        <v>45658</v>
      </c>
      <c r="C39" t="s">
        <v>20</v>
      </c>
      <c r="D39" t="s">
        <v>846</v>
      </c>
      <c r="E39" s="78">
        <v>0.35</v>
      </c>
    </row>
    <row r="40" spans="1:20" x14ac:dyDescent="0.3">
      <c r="A40" s="15">
        <f t="shared" si="1"/>
        <v>46023</v>
      </c>
      <c r="B40" s="15">
        <f>+A40</f>
        <v>46023</v>
      </c>
      <c r="C40" t="s">
        <v>20</v>
      </c>
      <c r="D40" t="s">
        <v>846</v>
      </c>
      <c r="E40" s="78">
        <v>0.25</v>
      </c>
    </row>
    <row r="41" spans="1:20" x14ac:dyDescent="0.3">
      <c r="A41" s="15">
        <f t="shared" si="1"/>
        <v>46023</v>
      </c>
      <c r="B41" s="15">
        <f>+DATE(YEAR(A41)-1,1,1)</f>
        <v>45658</v>
      </c>
      <c r="C41" t="s">
        <v>856</v>
      </c>
      <c r="D41" t="s">
        <v>846</v>
      </c>
      <c r="E41" s="78">
        <v>0.08</v>
      </c>
    </row>
    <row r="42" spans="1:20" x14ac:dyDescent="0.3">
      <c r="A42" s="15">
        <f t="shared" si="1"/>
        <v>46023</v>
      </c>
      <c r="B42" s="15">
        <f>+A42</f>
        <v>46023</v>
      </c>
      <c r="C42" t="s">
        <v>856</v>
      </c>
      <c r="D42" t="s">
        <v>846</v>
      </c>
      <c r="E42" s="78">
        <v>6.5000000000000002E-2</v>
      </c>
    </row>
    <row r="43" spans="1:20" x14ac:dyDescent="0.3">
      <c r="A43" s="15">
        <f t="shared" si="1"/>
        <v>46023</v>
      </c>
      <c r="B43" s="15">
        <f>+DATE(YEAR(A43)-1,1,1)</f>
        <v>45658</v>
      </c>
      <c r="C43" t="s">
        <v>28</v>
      </c>
      <c r="D43" t="s">
        <v>846</v>
      </c>
      <c r="E43" s="78">
        <v>0.18</v>
      </c>
    </row>
    <row r="44" spans="1:20" x14ac:dyDescent="0.3">
      <c r="A44" s="15">
        <f t="shared" si="1"/>
        <v>46023</v>
      </c>
      <c r="B44" s="15">
        <f>+A44</f>
        <v>46023</v>
      </c>
      <c r="C44" t="s">
        <v>28</v>
      </c>
      <c r="D44" t="s">
        <v>846</v>
      </c>
      <c r="E44" s="78">
        <v>0.12</v>
      </c>
    </row>
    <row r="45" spans="1:20" x14ac:dyDescent="0.3">
      <c r="A45" s="15">
        <f t="shared" si="1"/>
        <v>46023</v>
      </c>
      <c r="B45" s="15">
        <f>+A45</f>
        <v>46023</v>
      </c>
      <c r="C45" t="s">
        <v>82</v>
      </c>
      <c r="D45" t="s">
        <v>83</v>
      </c>
      <c r="E45" s="66">
        <v>0.10199999999999999</v>
      </c>
    </row>
    <row r="46" spans="1:20" x14ac:dyDescent="0.3">
      <c r="A46" s="15">
        <f t="shared" si="1"/>
        <v>46023</v>
      </c>
      <c r="B46" s="15">
        <f>+DATE(YEAR(A46)-1,1,1)</f>
        <v>45658</v>
      </c>
      <c r="C46" t="s">
        <v>82</v>
      </c>
      <c r="D46" t="s">
        <v>83</v>
      </c>
      <c r="E46" s="66">
        <v>0.10199999999999999</v>
      </c>
    </row>
    <row r="47" spans="1:20" x14ac:dyDescent="0.3">
      <c r="A47" s="15">
        <f t="shared" si="1"/>
        <v>46023</v>
      </c>
      <c r="B47" s="15">
        <f>+A47</f>
        <v>46023</v>
      </c>
      <c r="C47" t="s">
        <v>18</v>
      </c>
      <c r="D47" t="s">
        <v>83</v>
      </c>
      <c r="E47" s="66">
        <v>0.105</v>
      </c>
    </row>
    <row r="48" spans="1:20" x14ac:dyDescent="0.3">
      <c r="A48" s="15">
        <f t="shared" si="1"/>
        <v>46023</v>
      </c>
      <c r="B48" s="15">
        <f>+DATE(YEAR(A48)-1,1,1)</f>
        <v>45658</v>
      </c>
      <c r="C48" t="s">
        <v>18</v>
      </c>
      <c r="D48" t="s">
        <v>83</v>
      </c>
      <c r="E48" s="66">
        <v>0.10199999999999999</v>
      </c>
    </row>
    <row r="49" spans="1:5" x14ac:dyDescent="0.3">
      <c r="A49" s="15">
        <f t="shared" si="1"/>
        <v>46023</v>
      </c>
      <c r="B49" s="15">
        <f>+A49</f>
        <v>46023</v>
      </c>
      <c r="C49" t="s">
        <v>19</v>
      </c>
      <c r="D49" t="s">
        <v>83</v>
      </c>
      <c r="E49" s="66">
        <v>0.14000000000000001</v>
      </c>
    </row>
    <row r="50" spans="1:5" x14ac:dyDescent="0.3">
      <c r="A50" s="15">
        <f t="shared" si="1"/>
        <v>46023</v>
      </c>
      <c r="B50" s="15">
        <f>+DATE(YEAR(A50)-1,1,1)</f>
        <v>45658</v>
      </c>
      <c r="C50" t="s">
        <v>19</v>
      </c>
      <c r="D50" t="s">
        <v>83</v>
      </c>
      <c r="E50" s="66">
        <v>0.125</v>
      </c>
    </row>
    <row r="51" spans="1:5" x14ac:dyDescent="0.3">
      <c r="A51" s="15">
        <f t="shared" si="1"/>
        <v>46023</v>
      </c>
      <c r="B51" s="15">
        <f>+A51</f>
        <v>46023</v>
      </c>
      <c r="C51" t="s">
        <v>117</v>
      </c>
      <c r="D51" t="s">
        <v>83</v>
      </c>
      <c r="E51" s="66">
        <v>0.99</v>
      </c>
    </row>
    <row r="52" spans="1:5" x14ac:dyDescent="0.3">
      <c r="A52" s="15">
        <f t="shared" si="1"/>
        <v>46023</v>
      </c>
      <c r="B52" s="15">
        <f>+DATE(YEAR(A52)-1,1,1)</f>
        <v>45658</v>
      </c>
      <c r="C52" t="s">
        <v>117</v>
      </c>
      <c r="D52" t="s">
        <v>83</v>
      </c>
      <c r="E52" s="66">
        <v>0.99</v>
      </c>
    </row>
    <row r="53" spans="1:5" x14ac:dyDescent="0.3">
      <c r="A53" s="15">
        <f t="shared" si="1"/>
        <v>46023</v>
      </c>
      <c r="B53" s="15">
        <f>+A53</f>
        <v>46023</v>
      </c>
      <c r="C53" t="s">
        <v>28</v>
      </c>
      <c r="D53" t="s">
        <v>83</v>
      </c>
      <c r="E53" s="66">
        <v>0.4</v>
      </c>
    </row>
    <row r="54" spans="1:5" x14ac:dyDescent="0.3">
      <c r="A54" s="15">
        <f t="shared" si="1"/>
        <v>46023</v>
      </c>
      <c r="B54" s="15">
        <f>+DATE(YEAR(A54)-1,1,1)</f>
        <v>45658</v>
      </c>
      <c r="C54" t="s">
        <v>28</v>
      </c>
      <c r="D54" t="s">
        <v>83</v>
      </c>
      <c r="E54" s="66">
        <v>0.35</v>
      </c>
    </row>
    <row r="55" spans="1:5" x14ac:dyDescent="0.3">
      <c r="A55" s="15"/>
      <c r="B55" s="15"/>
    </row>
    <row r="56" spans="1:5" x14ac:dyDescent="0.3">
      <c r="A56" s="15"/>
      <c r="B56" s="15"/>
    </row>
    <row r="57" spans="1:5" x14ac:dyDescent="0.3">
      <c r="A57" s="15"/>
      <c r="B57" s="15"/>
    </row>
  </sheetData>
  <mergeCells count="2">
    <mergeCell ref="H23:I24"/>
    <mergeCell ref="J23:O24"/>
  </mergeCells>
  <hyperlinks>
    <hyperlink ref="H4" r:id="rId1" xr:uid="{00000000-0004-0000-0900-000000000000}"/>
  </hyperlinks>
  <pageMargins left="0.7" right="0.7" top="0.75" bottom="0.75" header="0.3" footer="0.3"/>
  <pageSetup orientation="portrait" horizontalDpi="200" verticalDpi="20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55"/>
  <sheetViews>
    <sheetView workbookViewId="0">
      <pane xSplit="1" ySplit="1" topLeftCell="F2" activePane="bottomRight" state="frozen"/>
      <selection pane="topRight" activeCell="C1" sqref="C1"/>
      <selection pane="bottomLeft" activeCell="A4" sqref="A4"/>
      <selection pane="bottomRight" activeCell="O41" sqref="O41"/>
    </sheetView>
  </sheetViews>
  <sheetFormatPr defaultRowHeight="14.4" x14ac:dyDescent="0.3"/>
  <cols>
    <col min="1" max="1" width="28.5546875" bestFit="1" customWidth="1"/>
    <col min="2" max="2" width="10.6640625" hidden="1" customWidth="1"/>
    <col min="3" max="3" width="10" hidden="1" customWidth="1"/>
    <col min="4" max="5" width="10.6640625" hidden="1" customWidth="1"/>
    <col min="6" max="6" width="8.33203125" customWidth="1"/>
    <col min="7" max="13" width="7.33203125" customWidth="1"/>
    <col min="14" max="14" width="2.44140625" customWidth="1"/>
    <col min="15" max="15" width="11.33203125" bestFit="1" customWidth="1"/>
  </cols>
  <sheetData>
    <row r="1" spans="1:15" ht="18" x14ac:dyDescent="0.35">
      <c r="A1" s="228" t="s">
        <v>883</v>
      </c>
      <c r="B1" s="228"/>
      <c r="C1" s="228"/>
      <c r="D1" s="228"/>
      <c r="E1" s="228"/>
      <c r="F1" s="228"/>
      <c r="G1" s="228"/>
      <c r="H1" s="228"/>
      <c r="I1" s="228"/>
      <c r="J1" s="228"/>
    </row>
    <row r="2" spans="1:15" ht="18" x14ac:dyDescent="0.35">
      <c r="A2" s="199"/>
      <c r="B2" s="199"/>
      <c r="C2" s="199"/>
      <c r="D2" s="199"/>
      <c r="E2" s="199"/>
      <c r="F2" s="199"/>
      <c r="G2" s="199"/>
      <c r="H2" s="199"/>
      <c r="I2" s="199"/>
    </row>
    <row r="3" spans="1:15" ht="28.8" x14ac:dyDescent="0.3">
      <c r="A3" s="201" t="s">
        <v>884</v>
      </c>
      <c r="B3" s="171">
        <v>2015</v>
      </c>
      <c r="C3" s="171">
        <v>2016</v>
      </c>
      <c r="D3" s="171">
        <v>2017</v>
      </c>
      <c r="E3" s="171">
        <v>2018</v>
      </c>
      <c r="F3" s="171">
        <v>2019</v>
      </c>
      <c r="G3" s="202">
        <v>2020</v>
      </c>
      <c r="H3" s="171">
        <v>2021</v>
      </c>
      <c r="I3" s="203">
        <v>2022</v>
      </c>
      <c r="J3" s="203">
        <v>2023</v>
      </c>
      <c r="K3" s="203">
        <v>2024</v>
      </c>
      <c r="L3" s="203" t="s">
        <v>126</v>
      </c>
      <c r="M3" s="203" t="s">
        <v>127</v>
      </c>
      <c r="N3" s="204"/>
      <c r="O3" s="205" t="s">
        <v>885</v>
      </c>
    </row>
    <row r="4" spans="1:15" x14ac:dyDescent="0.3">
      <c r="A4" s="206" t="s">
        <v>886</v>
      </c>
      <c r="B4" s="173">
        <f>'AEO Pacific'!G55/'AEO Pacific'!F55-1</f>
        <v>1.3261500207210952E-2</v>
      </c>
      <c r="C4" s="173">
        <f>'AEO Pacific'!H55/'AEO Pacific'!G55-1</f>
        <v>-3.3946830265848549E-2</v>
      </c>
      <c r="D4" s="173">
        <f>'AEO Pacific'!I55/'AEO Pacific'!H55-1</f>
        <v>4.2946655376798759E-3</v>
      </c>
      <c r="E4" s="173">
        <f>'AEO Pacific'!J55/'AEO Pacific'!I55-1</f>
        <v>-8.0391409627755817E-4</v>
      </c>
      <c r="F4" s="173">
        <f>'AEO Pacific'!K55/'AEO Pacific'!J55-1</f>
        <v>-1.6665000166660171E-4</v>
      </c>
      <c r="G4" s="173">
        <f>'AEO Pacific'!L55/'AEO Pacific'!K55-1</f>
        <v>-0.10450316940960602</v>
      </c>
      <c r="H4" s="173">
        <f>'AEO Pacific'!M55/'AEO Pacific'!L55-1</f>
        <v>3.7251682934483554E-2</v>
      </c>
      <c r="I4" s="173">
        <f>'AEO Pacific'!N55/'AEO Pacific'!M55-1</f>
        <v>-5.0669599557704115E-2</v>
      </c>
      <c r="J4" s="173">
        <f>'AEO Pacific'!O55/'AEO Pacific'!N55-1</f>
        <v>-8.2686312182819188E-3</v>
      </c>
      <c r="K4" s="173">
        <f>'AEO Pacific'!P55/'AEO Pacific'!O55-1</f>
        <v>3.2281490388559098E-2</v>
      </c>
      <c r="L4" s="173">
        <f>'AEO Pacific'!Q55/'AEO Pacific'!P55-1</f>
        <v>6.4366036608687338E-4</v>
      </c>
      <c r="M4" s="173">
        <f>'AEO Pacific'!R55/'AEO Pacific'!Q55-1</f>
        <v>-2.720553612269605E-2</v>
      </c>
      <c r="N4" s="1"/>
      <c r="O4" s="207"/>
    </row>
    <row r="5" spans="1:15" x14ac:dyDescent="0.3">
      <c r="A5" s="208" t="s">
        <v>887</v>
      </c>
      <c r="B5" s="174">
        <v>3.9217289403143063E-2</v>
      </c>
      <c r="C5" s="174">
        <v>4.0632393000938016E-2</v>
      </c>
      <c r="D5" s="174">
        <f>'[1]Quarterly Work'!$C$49</f>
        <v>0</v>
      </c>
      <c r="E5" s="174">
        <f>'[1]Quarterly Work'!$C$50</f>
        <v>0</v>
      </c>
      <c r="F5" s="174">
        <f>'[1]Quarterly Work'!$C$55</f>
        <v>-1.1531428822663781E-2</v>
      </c>
      <c r="G5" s="174">
        <f>'[1]Quarterly Work'!$C$56</f>
        <v>-0.12787605793120127</v>
      </c>
      <c r="H5" s="174">
        <f>'[1]Quarterly Work'!$C$57</f>
        <v>8.4952476556695133E-2</v>
      </c>
      <c r="I5" s="174">
        <f>'[1]Quarterly Work'!$C$58</f>
        <v>-2.2279331424463367E-2</v>
      </c>
      <c r="J5" s="174">
        <f>'[1]Quarterly Work'!$C$59</f>
        <v>5.0690935369352985E-3</v>
      </c>
      <c r="K5" s="174">
        <f>'[1]Quarterly Work'!$C$60</f>
        <v>-1.9707932414778417E-2</v>
      </c>
      <c r="L5" s="174">
        <f>'[1]Quarterly Work'!$C$61</f>
        <v>7.3388505454812236E-3</v>
      </c>
      <c r="M5" s="174">
        <f>'[1]Quarterly Work'!$C$62</f>
        <v>-1.3753343520640393E-2</v>
      </c>
      <c r="N5" s="1"/>
      <c r="O5" s="209">
        <f>'[1]Quarterly Work'!$C$78</f>
        <v>-1.0758133099356249E-2</v>
      </c>
    </row>
    <row r="6" spans="1:15" x14ac:dyDescent="0.3">
      <c r="A6" s="210" t="s">
        <v>888</v>
      </c>
      <c r="B6" s="183"/>
      <c r="C6" s="183"/>
      <c r="D6" s="200">
        <f>SUM(Forecast_Main!L82:O82)/SUM(Forecast_Main!H82:K82)-1</f>
        <v>1.0012180250500213E-2</v>
      </c>
      <c r="E6" s="200">
        <f>SUM(Forecast_Main!P82:S82)/SUM(Forecast_Main!L82:O82)-1</f>
        <v>5.7765603167273527E-2</v>
      </c>
      <c r="F6" s="200">
        <f>SUM(Forecast_Main!T82:W82)/SUM(Forecast_Main!P82:S82)-1</f>
        <v>1.5951270096264292E-2</v>
      </c>
      <c r="G6" s="200">
        <f>SUM(Forecast_Main!X82:AA82)/SUM(Forecast_Main!T82:W82)-1</f>
        <v>-0.19080944412019718</v>
      </c>
      <c r="H6" s="179">
        <f>SUM(Forecast_Main!AB82:AE82)/SUM(Forecast_Main!X82:AA82)-1</f>
        <v>7.0087069146451908E-2</v>
      </c>
      <c r="I6" s="179">
        <f>SUM(Forecast_Main!AF82:AI82)/SUM(Forecast_Main!AB82:AE82)-1</f>
        <v>1.7586711122112852E-3</v>
      </c>
      <c r="J6" s="179">
        <f>SUM(Forecast_Main!AJ82:AM82)/SUM(Forecast_Main!AF82:AI82)-1</f>
        <v>-1.9002366081238842E-2</v>
      </c>
      <c r="K6" s="179">
        <f>SUM(Forecast_Main!AN82:AQ82)/SUM(Forecast_Main!AJ82:AM82)-1</f>
        <v>1.4645380794838792E-2</v>
      </c>
      <c r="L6" s="179">
        <f>SUM(Forecast_Main!AR82:AU82)/SUM(Forecast_Main!AN82:AQ82)-1</f>
        <v>6.9594651238271688E-3</v>
      </c>
      <c r="M6" s="179">
        <f>SUM(Forecast_Main!AV82:AY82)/SUM(Forecast_Main!AR82:AU82)-1</f>
        <v>-1.3667471295280897E-2</v>
      </c>
      <c r="N6" s="183"/>
      <c r="O6" s="209">
        <f>(SUM(Forecast_Main!AN82:AQ82)/SUM(Forecast_Main!H82:K82))^(1/8)-1</f>
        <v>-8.0825616089237329E-3</v>
      </c>
    </row>
    <row r="7" spans="1:15" x14ac:dyDescent="0.3">
      <c r="A7" s="24"/>
      <c r="D7" s="7"/>
      <c r="E7" s="7"/>
    </row>
    <row r="8" spans="1:15" x14ac:dyDescent="0.3">
      <c r="A8" s="201" t="s">
        <v>889</v>
      </c>
      <c r="B8" s="171">
        <v>2015</v>
      </c>
      <c r="C8" s="171">
        <v>2016</v>
      </c>
      <c r="D8" s="171">
        <v>2017</v>
      </c>
      <c r="E8" s="171">
        <v>2018</v>
      </c>
      <c r="F8" s="171">
        <v>2019</v>
      </c>
      <c r="G8" s="202">
        <v>2020</v>
      </c>
      <c r="H8" s="171">
        <v>2021</v>
      </c>
      <c r="I8" s="203">
        <v>2022</v>
      </c>
      <c r="J8" s="203">
        <v>2023</v>
      </c>
      <c r="K8" s="203">
        <v>2024</v>
      </c>
      <c r="L8" s="203" t="s">
        <v>126</v>
      </c>
      <c r="M8" s="203" t="s">
        <v>127</v>
      </c>
    </row>
    <row r="9" spans="1:15" x14ac:dyDescent="0.3">
      <c r="A9" s="1" t="s">
        <v>890</v>
      </c>
      <c r="B9" s="175">
        <f>SUM('AEO Renewable'!G16:G17)/SUM('AEO Renewable'!F16:F17)-1</f>
        <v>3.603603603603589E-2</v>
      </c>
      <c r="C9" s="175">
        <f>SUM('AEO Renewable'!H16:H17)/SUM('AEO Renewable'!G16:G17)-1</f>
        <v>1.7391304347826209E-2</v>
      </c>
      <c r="D9" s="175">
        <f>SUM('AEO Renewable'!I16:I17)/SUM('AEO Renewable'!H16:H17)-1</f>
        <v>2.5041025641025616E-2</v>
      </c>
      <c r="E9" s="175">
        <f>SUM('AEO Renewable'!J16:J17)/SUM('AEO Renewable'!I16:I17)-1</f>
        <v>-1.0199299923788763E-2</v>
      </c>
      <c r="F9" s="175">
        <f>SUM('AEO Renewable'!K16:K17)/SUM('AEO Renewable'!J16:J17)-1</f>
        <v>-5.8733044329464246E-3</v>
      </c>
      <c r="G9" s="175">
        <f>SUM('AEO Renewable'!L16:L17)/SUM('AEO Renewable'!K16:K17)-1</f>
        <v>-0.12276649148288188</v>
      </c>
      <c r="H9" s="175">
        <f>SUM('AEO Renewable'!M16:M17)/SUM('AEO Renewable'!L16:L17)-1</f>
        <v>8.2326621059525706E-2</v>
      </c>
      <c r="I9" s="175">
        <f>SUM('AEO Renewable'!N16:N17)/SUM('AEO Renewable'!M16:M17)-1</f>
        <v>2.4063674757506703E-2</v>
      </c>
      <c r="J9" s="175">
        <f>SUM('AEO Renewable'!O16:O17)/SUM('AEO Renewable'!N16:N17)-1</f>
        <v>-1.8380590654047957E-3</v>
      </c>
      <c r="K9" s="175">
        <f>SUM('AEO Renewable'!P16:P17)/SUM('AEO Renewable'!O16:O17)-1</f>
        <v>1.4656460289339757E-2</v>
      </c>
      <c r="L9" s="175">
        <f>SUM('AEO Renewable'!Q16:Q17)/SUM('AEO Renewable'!P16:P17)-1</f>
        <v>4.8387249447758851E-3</v>
      </c>
      <c r="M9" s="19">
        <f>SUM('AEO Renewable'!R16:R17)/SUM('AEO Renewable'!P16:P17)-1</f>
        <v>2.3789178569861402E-2</v>
      </c>
    </row>
    <row r="10" spans="1:15" x14ac:dyDescent="0.3">
      <c r="A10" s="144" t="s">
        <v>887</v>
      </c>
      <c r="B10" s="178"/>
      <c r="C10" s="178"/>
      <c r="D10" s="178"/>
      <c r="E10" s="178">
        <f t="shared" ref="E10:J10" si="0">E5</f>
        <v>0</v>
      </c>
      <c r="F10" s="178">
        <f t="shared" si="0"/>
        <v>-1.1531428822663781E-2</v>
      </c>
      <c r="G10" s="178">
        <f t="shared" si="0"/>
        <v>-0.12787605793120127</v>
      </c>
      <c r="H10" s="178">
        <f t="shared" si="0"/>
        <v>8.4952476556695133E-2</v>
      </c>
      <c r="I10" s="178">
        <f t="shared" si="0"/>
        <v>-2.2279331424463367E-2</v>
      </c>
      <c r="J10" s="178">
        <f t="shared" si="0"/>
        <v>5.0690935369352985E-3</v>
      </c>
      <c r="K10" s="178">
        <f>K5</f>
        <v>-1.9707932414778417E-2</v>
      </c>
      <c r="L10" s="178">
        <f>L5</f>
        <v>7.3388505454812236E-3</v>
      </c>
      <c r="M10" s="178">
        <f>M5</f>
        <v>-1.3753343520640393E-2</v>
      </c>
    </row>
    <row r="11" spans="1:15" x14ac:dyDescent="0.3">
      <c r="A11" s="144" t="s">
        <v>888</v>
      </c>
      <c r="B11" s="144"/>
      <c r="C11" s="144"/>
      <c r="D11" s="178">
        <f>SUM(Forecast_Main!L80:O80)/SUM(Forecast_Main!H80:K80)-1</f>
        <v>-1.8743691537150275E-2</v>
      </c>
      <c r="E11" s="178">
        <f>SUM(Forecast_Main!P80:S80)/SUM(Forecast_Main!L80:O80)-1</f>
        <v>-9.3873476245973642E-3</v>
      </c>
      <c r="F11" s="178">
        <f>SUM(Forecast_Main!T80:W80)/SUM(Forecast_Main!P80:S80)-1</f>
        <v>8.051181670215346E-3</v>
      </c>
      <c r="G11" s="178">
        <f>SUM(Forecast_Main!X80:AA80)/SUM(Forecast_Main!T80:W80)-1</f>
        <v>-0.18528574795820008</v>
      </c>
      <c r="H11" s="179">
        <f>SUM(Forecast_Main!AB80:AE80)/SUM(Forecast_Main!X80:AA80)-1</f>
        <v>0.10544668875835606</v>
      </c>
      <c r="I11" s="179">
        <f>SUM(Forecast_Main!AF80:AI80)/SUM(Forecast_Main!AB80:AE80)-1</f>
        <v>-4.5497717023010309E-2</v>
      </c>
      <c r="J11" s="179">
        <f>SUM(Forecast_Main!AJ80:AM80)/SUM(Forecast_Main!AF80:AI80)-1</f>
        <v>3.4558042735093109E-2</v>
      </c>
      <c r="K11" s="179">
        <f>SUM(Forecast_Main!AN80:AQ80)/SUM(Forecast_Main!AJ80:AM80)-1</f>
        <v>-3.0881287670240454E-2</v>
      </c>
      <c r="L11" s="179">
        <f>SUM(Forecast_Main!AR80:AU80)/SUM(Forecast_Main!AN80:AQ80)-1</f>
        <v>1.4217314639542566E-2</v>
      </c>
      <c r="M11" s="179">
        <f>SUM(Forecast_Main!AV80:AY80)/SUM(Forecast_Main!AR80:AU80)-1</f>
        <v>1.1170302495777662E-4</v>
      </c>
    </row>
    <row r="12" spans="1:15" ht="7.5" customHeight="1" x14ac:dyDescent="0.3">
      <c r="A12" s="1"/>
      <c r="B12" s="1"/>
      <c r="C12" s="1"/>
      <c r="D12" s="173"/>
      <c r="E12" s="173"/>
      <c r="F12" s="173"/>
      <c r="G12" s="173"/>
      <c r="H12" s="173"/>
      <c r="I12" s="1"/>
      <c r="J12" s="1"/>
      <c r="K12" s="1"/>
      <c r="L12" s="1"/>
      <c r="M12" s="1"/>
    </row>
    <row r="13" spans="1:15" x14ac:dyDescent="0.3">
      <c r="A13" s="177" t="s">
        <v>83</v>
      </c>
      <c r="B13" s="177"/>
      <c r="C13" s="177"/>
      <c r="D13" s="136"/>
      <c r="E13" s="136">
        <f>'Table 1 - Volumes'!D7</f>
        <v>0.1008346108772545</v>
      </c>
      <c r="F13" s="136">
        <f>'Table 1 - Volumes'!E7</f>
        <v>0.10005051584653411</v>
      </c>
      <c r="G13" s="136">
        <f>'Table 1 - Volumes'!F7</f>
        <v>0.10073348062704428</v>
      </c>
      <c r="H13" s="136">
        <f>'Table 1 - Volumes'!G7</f>
        <v>0.10406208598996722</v>
      </c>
      <c r="I13" s="136">
        <f>'Table 1 - Volumes'!H7</f>
        <v>9.9153120919325127E-2</v>
      </c>
      <c r="J13" s="136">
        <f>'Table 1 - Volumes'!I7</f>
        <v>0.10456667290786544</v>
      </c>
      <c r="K13" s="136">
        <f>'Table 1 - Volumes'!J7</f>
        <v>9.9874814707867035E-2</v>
      </c>
      <c r="L13" s="136">
        <f>'Table 1 - Volumes'!K7</f>
        <v>0.10059468119769692</v>
      </c>
      <c r="M13" s="136">
        <f>'Table 1 - Volumes'!L7</f>
        <v>0.10199999999999999</v>
      </c>
    </row>
    <row r="14" spans="1:15" x14ac:dyDescent="0.3">
      <c r="A14" s="24"/>
      <c r="D14" s="7"/>
      <c r="E14" s="7"/>
    </row>
    <row r="15" spans="1:15" ht="28.8" x14ac:dyDescent="0.3">
      <c r="A15" s="201" t="s">
        <v>891</v>
      </c>
      <c r="B15" s="171">
        <v>2015</v>
      </c>
      <c r="C15" s="171">
        <v>2016</v>
      </c>
      <c r="D15" s="171">
        <v>2017</v>
      </c>
      <c r="E15" s="171">
        <v>2018</v>
      </c>
      <c r="F15" s="171">
        <v>2019</v>
      </c>
      <c r="G15" s="202">
        <v>2020</v>
      </c>
      <c r="H15" s="171">
        <v>2021</v>
      </c>
      <c r="I15" s="203">
        <v>2022</v>
      </c>
      <c r="J15" s="203">
        <v>2023</v>
      </c>
      <c r="K15" s="203">
        <v>2024</v>
      </c>
      <c r="L15" s="203" t="s">
        <v>126</v>
      </c>
      <c r="M15" s="203" t="s">
        <v>127</v>
      </c>
      <c r="N15" s="204"/>
      <c r="O15" s="205" t="s">
        <v>885</v>
      </c>
    </row>
    <row r="16" spans="1:15" x14ac:dyDescent="0.3">
      <c r="A16" s="206" t="s">
        <v>886</v>
      </c>
      <c r="B16" s="175">
        <f>'AEO Pacific'!G58/'AEO Pacific'!F58-1</f>
        <v>9.2715231788078611E-3</v>
      </c>
      <c r="C16" s="175">
        <f>'AEO Pacific'!H58/'AEO Pacific'!G58-1</f>
        <v>-1.8372703412073532E-2</v>
      </c>
      <c r="D16" s="175">
        <f>'AEO Pacific'!I58/'AEO Pacific'!H58-1</f>
        <v>1.9430481283422507E-2</v>
      </c>
      <c r="E16" s="175">
        <f>'AEO Pacific'!J58/'AEO Pacific'!I58-1</f>
        <v>1.2131918052178614E-2</v>
      </c>
      <c r="F16" s="175">
        <f>'AEO Pacific'!K58/'AEO Pacific'!J58-1</f>
        <v>4.7409576501227457E-2</v>
      </c>
      <c r="G16" s="175">
        <f>'AEO Pacific'!L58/'AEO Pacific'!K58-1</f>
        <v>-0.13014751816916648</v>
      </c>
      <c r="H16" s="175">
        <f>'AEO Pacific'!M58/'AEO Pacific'!L58-1</f>
        <v>4.1227759550718446E-2</v>
      </c>
      <c r="I16" s="175">
        <f>'AEO Pacific'!N58/'AEO Pacific'!M58-1</f>
        <v>2.8436523860319696E-2</v>
      </c>
      <c r="J16" s="175">
        <f>'AEO Pacific'!O58/'AEO Pacific'!N58-1</f>
        <v>3.3186936652779719E-2</v>
      </c>
      <c r="K16" s="175">
        <f>'AEO Pacific'!P58/'AEO Pacific'!O58-1</f>
        <v>0.31931344043312948</v>
      </c>
      <c r="L16" s="175">
        <f>'AEO Pacific'!Q58/'AEO Pacific'!P58-1</f>
        <v>8.5825828810159877E-3</v>
      </c>
      <c r="M16" s="175">
        <f>'AEO Pacific'!R58/'AEO Pacific'!Q58-1</f>
        <v>-4.4436287058415846E-3</v>
      </c>
      <c r="N16" s="1"/>
      <c r="O16" s="207"/>
    </row>
    <row r="17" spans="1:15" x14ac:dyDescent="0.3">
      <c r="A17" s="208" t="s">
        <v>892</v>
      </c>
      <c r="B17" s="178">
        <v>0</v>
      </c>
      <c r="C17" s="178">
        <v>0</v>
      </c>
      <c r="D17" s="178">
        <f>'[1]Quarterly Work'!$P$49</f>
        <v>0</v>
      </c>
      <c r="E17" s="178">
        <f>'[1]Quarterly Work'!$P$50</f>
        <v>0</v>
      </c>
      <c r="F17" s="178">
        <f>'[1]Quarterly Work'!$P$55</f>
        <v>-8.3485318850944346E-3</v>
      </c>
      <c r="G17" s="178">
        <f>'[1]Quarterly Work'!$P$56</f>
        <v>9.5416214354566264E-2</v>
      </c>
      <c r="H17" s="178">
        <f>'[1]Quarterly Work'!$P$57</f>
        <v>8.623857635197929E-2</v>
      </c>
      <c r="I17" s="178">
        <f>'[1]Quarterly Work'!$P$58</f>
        <v>-2.5424022559094706E-2</v>
      </c>
      <c r="J17" s="178">
        <f>'[1]Quarterly Work'!$P$59</f>
        <v>2.9500766556796787E-2</v>
      </c>
      <c r="K17" s="178">
        <f>'[1]Quarterly Work'!$P$60</f>
        <v>-3.0877363630981036E-2</v>
      </c>
      <c r="L17" s="178">
        <f>'[1]Quarterly Work'!$P$61</f>
        <v>7.1197271969358766E-4</v>
      </c>
      <c r="M17" s="178">
        <f>'[1]Quarterly Work'!$P$62</f>
        <v>-3.412742229892074E-3</v>
      </c>
      <c r="N17" s="1"/>
      <c r="O17" s="209">
        <f>'[1]Quarterly Work'!$P$78</f>
        <v>2.1993635769910869E-2</v>
      </c>
    </row>
    <row r="18" spans="1:15" x14ac:dyDescent="0.3">
      <c r="A18" s="208" t="s">
        <v>888</v>
      </c>
      <c r="B18" s="144"/>
      <c r="C18" s="144"/>
      <c r="D18" s="178">
        <f>SUM(Forecast_Main!L90:O90)/SUM(Forecast_Main!H90:K90)-1</f>
        <v>-2.9292016996185666E-2</v>
      </c>
      <c r="E18" s="178">
        <f>SUM(Forecast_Main!P90:S90)/SUM(Forecast_Main!L90:O90)-1</f>
        <v>4.7836436414321559E-2</v>
      </c>
      <c r="F18" s="178">
        <f>SUM(Forecast_Main!T90:W90)/SUM(Forecast_Main!P90:S90)-1</f>
        <v>3.4772910931925027E-2</v>
      </c>
      <c r="G18" s="178">
        <f>SUM(Forecast_Main!X90:AA90)/SUM(Forecast_Main!T90:W90)-1</f>
        <v>-5.8270049618325936E-2</v>
      </c>
      <c r="H18" s="179">
        <f>SUM(Forecast_Main!AB90:AE90)/SUM(Forecast_Main!X90:AA90)-1</f>
        <v>9.5110350164056889E-2</v>
      </c>
      <c r="I18" s="179">
        <f>SUM(Forecast_Main!AF90:AI90)/SUM(Forecast_Main!AB90:AE90)-1</f>
        <v>7.6042637752152142E-2</v>
      </c>
      <c r="J18" s="179">
        <f>SUM(Forecast_Main!AJ90:AM90)/SUM(Forecast_Main!AF90:AI90)-1</f>
        <v>-0.10126786315002512</v>
      </c>
      <c r="K18" s="179">
        <f>SUM(Forecast_Main!AN90:AQ90)/SUM(Forecast_Main!AJ90:AM90)-1</f>
        <v>4.5704734990494877E-2</v>
      </c>
      <c r="L18" s="179">
        <f>SUM(Forecast_Main!AR90:AU90)/SUM(Forecast_Main!AN90:AQ90)-1</f>
        <v>-4.4384522144674921E-2</v>
      </c>
      <c r="M18" s="179">
        <f>SUM(Forecast_Main!AV90:AY90)/SUM(Forecast_Main!AR90:AU90)-1</f>
        <v>-2.8988951402649787E-3</v>
      </c>
      <c r="N18" s="144"/>
      <c r="O18" s="209">
        <f>(SUM(Forecast_Main!AN90:AQ90)/SUM(Forecast_Main!H90:K90))^(1/8)-1</f>
        <v>1.1719288958840668E-2</v>
      </c>
    </row>
    <row r="19" spans="1:15" x14ac:dyDescent="0.3">
      <c r="A19" s="24"/>
      <c r="D19" s="7"/>
      <c r="E19" s="7"/>
    </row>
    <row r="20" spans="1:15" x14ac:dyDescent="0.3">
      <c r="A20" s="201" t="s">
        <v>893</v>
      </c>
      <c r="B20" s="171">
        <v>2015</v>
      </c>
      <c r="C20" s="171">
        <v>2016</v>
      </c>
      <c r="D20" s="171">
        <v>2017</v>
      </c>
      <c r="E20" s="171">
        <v>2018</v>
      </c>
      <c r="F20" s="171">
        <v>2019</v>
      </c>
      <c r="G20" s="202">
        <v>2020</v>
      </c>
      <c r="H20" s="171">
        <v>2021</v>
      </c>
      <c r="I20" s="203">
        <v>2022</v>
      </c>
      <c r="J20" s="203">
        <v>2023</v>
      </c>
      <c r="K20" s="203">
        <v>2024</v>
      </c>
      <c r="L20" s="203" t="s">
        <v>126</v>
      </c>
      <c r="M20" s="203" t="s">
        <v>127</v>
      </c>
    </row>
    <row r="21" spans="1:15" x14ac:dyDescent="0.3">
      <c r="A21" s="1" t="s">
        <v>890</v>
      </c>
      <c r="B21" s="175">
        <f>'AEO Renewable'!G18/'AEO Renewable'!F18-1</f>
        <v>0.15789473684210531</v>
      </c>
      <c r="C21" s="175">
        <f>'AEO Renewable'!H18/'AEO Renewable'!G18-1</f>
        <v>0.40909090909090917</v>
      </c>
      <c r="D21" s="175">
        <f>'AEO Renewable'!I18/'AEO Renewable'!H18-1</f>
        <v>-0.14230000000000009</v>
      </c>
      <c r="E21" s="175">
        <f>'AEO Renewable'!J18/'AEO Renewable'!I18-1</f>
        <v>0.11078766543682095</v>
      </c>
      <c r="F21" s="175">
        <f>'AEO Renewable'!K18/'AEO Renewable'!J18-1</f>
        <v>-3.0574516496018167E-2</v>
      </c>
      <c r="G21" s="175">
        <f>'AEO Renewable'!L18/'AEO Renewable'!K18-1</f>
        <v>-0.20686030022981761</v>
      </c>
      <c r="H21" s="175">
        <f>'AEO Renewable'!M18/'AEO Renewable'!L18-1</f>
        <v>-5.6203129197180068E-2</v>
      </c>
      <c r="I21" s="175">
        <f>'AEO Renewable'!N18/'AEO Renewable'!M18-1</f>
        <v>-5.9540695395755905E-2</v>
      </c>
      <c r="J21" s="175">
        <f>'AEO Renewable'!O18/'AEO Renewable'!N18-1</f>
        <v>-5.8160475880989937E-2</v>
      </c>
      <c r="K21" s="175">
        <f>'AEO Renewable'!P18/'AEO Renewable'!O18-1</f>
        <v>0.25081647703329124</v>
      </c>
      <c r="L21" s="175">
        <f>'AEO Renewable'!Q18/'AEO Renewable'!P18-1</f>
        <v>-0.16739171632519845</v>
      </c>
      <c r="M21" s="175">
        <f>'AEO Renewable'!R18/'AEO Renewable'!Q18-1</f>
        <v>2.0196553485713586E-2</v>
      </c>
    </row>
    <row r="22" spans="1:15" x14ac:dyDescent="0.3">
      <c r="A22" s="144" t="s">
        <v>892</v>
      </c>
      <c r="B22" s="178"/>
      <c r="C22" s="178"/>
      <c r="D22" s="178"/>
      <c r="E22" s="178">
        <f t="shared" ref="E22:M22" si="1">E17</f>
        <v>0</v>
      </c>
      <c r="F22" s="178">
        <f t="shared" si="1"/>
        <v>-8.3485318850944346E-3</v>
      </c>
      <c r="G22" s="178">
        <f t="shared" si="1"/>
        <v>9.5416214354566264E-2</v>
      </c>
      <c r="H22" s="178">
        <f t="shared" si="1"/>
        <v>8.623857635197929E-2</v>
      </c>
      <c r="I22" s="178">
        <f t="shared" si="1"/>
        <v>-2.5424022559094706E-2</v>
      </c>
      <c r="J22" s="178">
        <f t="shared" si="1"/>
        <v>2.9500766556796787E-2</v>
      </c>
      <c r="K22" s="178">
        <f t="shared" si="1"/>
        <v>-3.0877363630981036E-2</v>
      </c>
      <c r="L22" s="178">
        <f t="shared" si="1"/>
        <v>7.1197271969358766E-4</v>
      </c>
      <c r="M22" s="178">
        <f t="shared" si="1"/>
        <v>-3.412742229892074E-3</v>
      </c>
    </row>
    <row r="23" spans="1:15" x14ac:dyDescent="0.3">
      <c r="A23" s="144" t="s">
        <v>888</v>
      </c>
      <c r="B23" s="144"/>
      <c r="C23" s="144"/>
      <c r="D23" s="178">
        <f>SUM(Forecast_Main!L86:O86)/SUM(Forecast_Main!H86:K86)-1</f>
        <v>7.6814143809132984E-2</v>
      </c>
      <c r="E23" s="178">
        <f>SUM(Forecast_Main!P86:S86)/SUM(Forecast_Main!L86:O86)-1</f>
        <v>8.8830404769828508E-3</v>
      </c>
      <c r="F23" s="178">
        <f>SUM(Forecast_Main!T86:W86)/SUM(Forecast_Main!P86:S86)-1</f>
        <v>0.16347845528992955</v>
      </c>
      <c r="G23" s="178">
        <f>SUM(Forecast_Main!X86:AA86)/SUM(Forecast_Main!T86:W86)-1</f>
        <v>0.14039665594192829</v>
      </c>
      <c r="H23" s="179">
        <f>SUM(Forecast_Main!AB86:AE86)/SUM(Forecast_Main!X86:AA86)-1</f>
        <v>0.10657031947109696</v>
      </c>
      <c r="I23" s="179">
        <f>SUM(Forecast_Main!AF86:AI86)/SUM(Forecast_Main!AB86:AE86)-1</f>
        <v>7.6649619603853747E-2</v>
      </c>
      <c r="J23" s="179">
        <f>SUM(Forecast_Main!AJ86:AM86)/SUM(Forecast_Main!AF86:AI86)-1</f>
        <v>-3.3923392154921017E-2</v>
      </c>
      <c r="K23" s="179">
        <f>SUM(Forecast_Main!AN86:AQ86)/SUM(Forecast_Main!AJ86:AM86)-1</f>
        <v>-4.2898734795560056E-3</v>
      </c>
      <c r="L23" s="179">
        <f>SUM(Forecast_Main!AR86:AU86)/SUM(Forecast_Main!AN86:AQ86)-1</f>
        <v>1.7798337189612434E-2</v>
      </c>
      <c r="M23" s="179">
        <f>SUM(Forecast_Main!AV86:AY86)/SUM(Forecast_Main!AR86:AU86)-1</f>
        <v>0.13840931295246617</v>
      </c>
    </row>
    <row r="24" spans="1:15" ht="7.5" customHeight="1" x14ac:dyDescent="0.3">
      <c r="A24" s="1"/>
      <c r="B24" s="1"/>
      <c r="C24" s="1"/>
      <c r="D24" s="175"/>
      <c r="E24" s="175"/>
      <c r="F24" s="175"/>
      <c r="G24" s="175"/>
      <c r="H24" s="175"/>
      <c r="I24" s="1"/>
      <c r="J24" s="1"/>
      <c r="K24" s="1"/>
      <c r="L24" s="1"/>
      <c r="M24" s="1"/>
    </row>
    <row r="25" spans="1:15" x14ac:dyDescent="0.3">
      <c r="A25" s="177" t="s">
        <v>83</v>
      </c>
      <c r="B25" s="177"/>
      <c r="C25" s="177">
        <f>'Table 1 - Volumes'!B12</f>
        <v>6.2841497339772193E-2</v>
      </c>
      <c r="D25" s="136">
        <f>'Table 1 - Volumes'!C12</f>
        <v>6.9710576546628447E-2</v>
      </c>
      <c r="E25" s="136">
        <f>'Table 1 - Volumes'!D12</f>
        <v>6.7119080779852805E-2</v>
      </c>
      <c r="F25" s="136">
        <f>'Table 1 - Volumes'!E12</f>
        <v>7.5467383810708E-2</v>
      </c>
      <c r="G25" s="136">
        <f>'Table 1 - Volumes'!F12</f>
        <v>9.1387931429320071E-2</v>
      </c>
      <c r="H25" s="136">
        <f>'Table 1 - Volumes'!G12</f>
        <v>9.2344276047062926E-2</v>
      </c>
      <c r="I25" s="136">
        <f>'Table 1 - Volumes'!H12</f>
        <v>9.2396366268865091E-2</v>
      </c>
      <c r="J25" s="136">
        <f>'Table 1 - Volumes'!I12</f>
        <v>9.9319880131466975E-2</v>
      </c>
      <c r="K25" s="136">
        <f>'Table 1 - Volumes'!J12</f>
        <v>9.457144746752745E-2</v>
      </c>
      <c r="L25" s="136">
        <f>'Table 1 - Volumes'!K12</f>
        <v>0.10072530657842341</v>
      </c>
      <c r="M25" s="136">
        <f>'Table 1 - Volumes'!L12</f>
        <v>0.11499999999999999</v>
      </c>
    </row>
    <row r="26" spans="1:15" x14ac:dyDescent="0.3">
      <c r="D26" s="19"/>
      <c r="E26" s="19"/>
      <c r="F26" s="19"/>
      <c r="G26" s="19"/>
      <c r="H26" s="19"/>
    </row>
    <row r="27" spans="1:15" x14ac:dyDescent="0.3">
      <c r="A27" s="201" t="s">
        <v>894</v>
      </c>
      <c r="B27" s="171">
        <v>2015</v>
      </c>
      <c r="C27" s="171">
        <v>2016</v>
      </c>
      <c r="D27" s="171">
        <v>2017</v>
      </c>
      <c r="E27" s="171">
        <v>2018</v>
      </c>
      <c r="F27" s="171">
        <v>2019</v>
      </c>
      <c r="G27" s="202">
        <v>2020</v>
      </c>
      <c r="H27" s="171">
        <v>2021</v>
      </c>
      <c r="I27" s="203">
        <v>2022</v>
      </c>
      <c r="J27" s="203">
        <v>2023</v>
      </c>
      <c r="K27" s="203">
        <v>2024</v>
      </c>
      <c r="L27" s="203" t="s">
        <v>126</v>
      </c>
      <c r="M27" s="203" t="s">
        <v>127</v>
      </c>
    </row>
    <row r="28" spans="1:15" x14ac:dyDescent="0.3">
      <c r="A28" s="1" t="s">
        <v>890</v>
      </c>
      <c r="B28" s="175"/>
      <c r="C28" s="175">
        <f>'AEO Renewable'!H21/'AEO Renewable'!G21-1</f>
        <v>3</v>
      </c>
      <c r="D28" s="175">
        <f>'AEO Renewable'!I21/'AEO Renewable'!H21-1</f>
        <v>0.34932499999999989</v>
      </c>
      <c r="E28" s="175">
        <f>'AEO Renewable'!J21/'AEO Renewable'!I21-1</f>
        <v>0.25883312026383565</v>
      </c>
      <c r="F28" s="175">
        <f>'AEO Renewable'!K21/'AEO Renewable'!J21-1</f>
        <v>-9.7611232945262971E-2</v>
      </c>
      <c r="G28" s="175">
        <f>'AEO Renewable'!L21/'AEO Renewable'!K21-1</f>
        <v>0.13113470665949012</v>
      </c>
      <c r="H28" s="175">
        <f>'AEO Renewable'!M21/'AEO Renewable'!L21-1</f>
        <v>1.1096018802901182</v>
      </c>
      <c r="I28" s="175">
        <f>'AEO Renewable'!N21/'AEO Renewable'!M21-1</f>
        <v>1.0092684360539432</v>
      </c>
      <c r="J28" s="175">
        <f>'AEO Renewable'!O21/'AEO Renewable'!N21-1</f>
        <v>0.19461018771133687</v>
      </c>
      <c r="K28" s="175">
        <f>'AEO Renewable'!P21/'AEO Renewable'!O21-1</f>
        <v>7.1700316086225957E-2</v>
      </c>
      <c r="L28" s="175">
        <f>'AEO Renewable'!Q21/'AEO Renewable'!P21-1</f>
        <v>0.13934140917074322</v>
      </c>
      <c r="M28" s="175">
        <f>'AEO Renewable'!R21/'AEO Renewable'!Q21-1</f>
        <v>3.5772755894493802E-2</v>
      </c>
    </row>
    <row r="29" spans="1:15" x14ac:dyDescent="0.3">
      <c r="A29" s="144" t="s">
        <v>892</v>
      </c>
      <c r="B29" s="178"/>
      <c r="C29" s="178"/>
      <c r="D29" s="178"/>
      <c r="E29" s="178">
        <f t="shared" ref="E29:M29" si="2">E17</f>
        <v>0</v>
      </c>
      <c r="F29" s="178">
        <f t="shared" si="2"/>
        <v>-8.3485318850944346E-3</v>
      </c>
      <c r="G29" s="178">
        <f t="shared" si="2"/>
        <v>9.5416214354566264E-2</v>
      </c>
      <c r="H29" s="178">
        <f t="shared" si="2"/>
        <v>8.623857635197929E-2</v>
      </c>
      <c r="I29" s="178">
        <f t="shared" si="2"/>
        <v>-2.5424022559094706E-2</v>
      </c>
      <c r="J29" s="178">
        <f t="shared" si="2"/>
        <v>2.9500766556796787E-2</v>
      </c>
      <c r="K29" s="178">
        <f t="shared" si="2"/>
        <v>-3.0877363630981036E-2</v>
      </c>
      <c r="L29" s="178">
        <f t="shared" si="2"/>
        <v>7.1197271969358766E-4</v>
      </c>
      <c r="M29" s="178">
        <f t="shared" si="2"/>
        <v>-3.412742229892074E-3</v>
      </c>
    </row>
    <row r="30" spans="1:15" x14ac:dyDescent="0.3">
      <c r="A30" s="144" t="s">
        <v>888</v>
      </c>
      <c r="B30" s="144"/>
      <c r="C30" s="144"/>
      <c r="D30" s="178"/>
      <c r="E30" s="178">
        <f>Forecast_Main!S88/Forecast_Main!O88-1</f>
        <v>0.41535689085367755</v>
      </c>
      <c r="F30" s="178">
        <f>SUM(Forecast_Main!T88:W88)/SUM(Forecast_Main!P88:S88)-1</f>
        <v>12.510092279049402</v>
      </c>
      <c r="G30" s="178">
        <f>SUM(Forecast_Main!X88:AA88)/SUM(Forecast_Main!T88:W88)-1</f>
        <v>6.866838177198753E-2</v>
      </c>
      <c r="H30" s="179">
        <f>SUM(Forecast_Main!AB88:AE88)/SUM(Forecast_Main!X88:AA88)-1</f>
        <v>-0.43939299895470241</v>
      </c>
      <c r="I30" s="179">
        <f>SUM(Forecast_Main!AF88:AI88)/SUM(Forecast_Main!AB88:AE88)-1</f>
        <v>3.7712310581490378</v>
      </c>
      <c r="J30" s="179">
        <f>SUM(Forecast_Main!AJ88:AM88)/SUM(Forecast_Main!AF88:AI88)-1</f>
        <v>1.7075343581988003</v>
      </c>
      <c r="K30" s="179">
        <f>SUM(Forecast_Main!AN88:AQ88)/SUM(Forecast_Main!AJ88:AM88)-1</f>
        <v>0.34560369728363649</v>
      </c>
      <c r="L30" s="179">
        <f>SUM(Forecast_Main!AR88:AU88)/SUM(Forecast_Main!AN88:AQ88)-1</f>
        <v>-0.18019835483122848</v>
      </c>
      <c r="M30" s="179">
        <f>SUM(Forecast_Main!AV88:AY88)/SUM(Forecast_Main!AR88:AU88)-1</f>
        <v>0.42023190848345804</v>
      </c>
    </row>
    <row r="31" spans="1:15" ht="7.5" customHeight="1" x14ac:dyDescent="0.3">
      <c r="A31" s="1"/>
      <c r="B31" s="1"/>
      <c r="C31" s="1"/>
      <c r="D31" s="173"/>
      <c r="E31" s="173"/>
      <c r="F31" s="173"/>
      <c r="G31" s="173"/>
      <c r="H31" s="173"/>
      <c r="I31" s="1"/>
      <c r="J31" s="1"/>
      <c r="K31" s="1"/>
      <c r="L31" s="1"/>
      <c r="M31" s="1"/>
    </row>
    <row r="32" spans="1:15" x14ac:dyDescent="0.3">
      <c r="A32" s="177" t="s">
        <v>83</v>
      </c>
      <c r="B32" s="177"/>
      <c r="C32" s="177"/>
      <c r="D32" s="136"/>
      <c r="E32" s="136">
        <f>'Table 1 - Volumes'!D14</f>
        <v>1.5693184621980369E-3</v>
      </c>
      <c r="F32" s="136">
        <f>'Table 1 - Volumes'!E14</f>
        <v>2.0489169184393329E-2</v>
      </c>
      <c r="G32" s="136">
        <f>'Table 1 - Volumes'!F14</f>
        <v>2.3250961984657918E-2</v>
      </c>
      <c r="H32" s="136">
        <f>'Table 1 - Volumes'!G14</f>
        <v>1.1902592343944696E-2</v>
      </c>
      <c r="I32" s="136">
        <f>'Table 1 - Volumes'!H14</f>
        <v>5.2776736043238924E-2</v>
      </c>
      <c r="J32" s="136">
        <f>'Table 1 - Volumes'!I14</f>
        <v>0.15899601259558804</v>
      </c>
      <c r="K32" s="136">
        <f>'Table 1 - Volumes'!J14</f>
        <v>0.20459467691319541</v>
      </c>
      <c r="L32" s="136">
        <f>'Table 1 - Volumes'!K14</f>
        <v>0.17551730441059665</v>
      </c>
      <c r="M32" s="136">
        <f>'Table 1 - Volumes'!L14</f>
        <v>0.25000000000000006</v>
      </c>
    </row>
    <row r="33" spans="1:13" x14ac:dyDescent="0.3">
      <c r="A33" s="180" t="s">
        <v>895</v>
      </c>
      <c r="E33" s="7"/>
    </row>
    <row r="34" spans="1:13" ht="21" customHeight="1" x14ac:dyDescent="0.3">
      <c r="A34" s="24"/>
      <c r="E34" s="7"/>
    </row>
    <row r="35" spans="1:13" x14ac:dyDescent="0.3">
      <c r="A35" s="172" t="s">
        <v>896</v>
      </c>
      <c r="B35" s="144">
        <v>2015</v>
      </c>
      <c r="C35" s="144">
        <v>2016</v>
      </c>
      <c r="D35" s="144">
        <v>2017</v>
      </c>
      <c r="E35" s="144">
        <v>2018</v>
      </c>
      <c r="F35" s="144">
        <v>2019</v>
      </c>
      <c r="G35" s="162">
        <v>2020</v>
      </c>
      <c r="H35" s="144">
        <v>2021</v>
      </c>
      <c r="I35" s="163">
        <v>2022</v>
      </c>
      <c r="J35" s="163">
        <v>2023</v>
      </c>
      <c r="K35" s="163">
        <v>2024</v>
      </c>
      <c r="L35" s="163" t="s">
        <v>126</v>
      </c>
      <c r="M35" s="163" t="s">
        <v>127</v>
      </c>
    </row>
    <row r="36" spans="1:13" x14ac:dyDescent="0.3">
      <c r="A36" s="1" t="s">
        <v>886</v>
      </c>
      <c r="B36" s="175">
        <f>'AEO Pacific'!G66/'AEO Pacific'!F66-1</f>
        <v>0.33333333333333326</v>
      </c>
      <c r="C36" s="175">
        <f>'AEO Pacific'!H66/'AEO Pacific'!G66-1</f>
        <v>0.25</v>
      </c>
      <c r="D36" s="175">
        <f>'AEO Pacific'!I66/'AEO Pacific'!H66-1</f>
        <v>0.72780000000000022</v>
      </c>
      <c r="E36" s="175">
        <f>'AEO Pacific'!J66/'AEO Pacific'!I66-1</f>
        <v>0.1472392638036808</v>
      </c>
      <c r="F36" s="175">
        <f>'AEO Pacific'!K$66/'AEO Pacific'!J$66-1</f>
        <v>7.2041166380789168E-2</v>
      </c>
      <c r="G36" s="175">
        <f>'AEO Pacific'!L$66/'AEO Pacific'!K$66-1</f>
        <v>-6.5317647058823591E-2</v>
      </c>
      <c r="H36" s="175">
        <f>'AEO Pacific'!M$66/'AEO Pacific'!L$66-1</f>
        <v>0.35676165542241467</v>
      </c>
      <c r="I36" s="175">
        <f>'AEO Pacific'!N$66/'AEO Pacific'!M$66-1</f>
        <v>0.34073029538370214</v>
      </c>
      <c r="J36" s="175">
        <f>'AEO Pacific'!O$66/'AEO Pacific'!N$66-1</f>
        <v>0.26305009687240521</v>
      </c>
      <c r="K36" s="175">
        <f>'AEO Pacific'!P$66/'AEO Pacific'!O$66-1</f>
        <v>0.24819213744138136</v>
      </c>
      <c r="L36" s="175">
        <f>'AEO Pacific'!Q$66/'AEO Pacific'!P$66-1</f>
        <v>0.35333567415730349</v>
      </c>
      <c r="M36" s="175">
        <f>'AEO Pacific'!R$66/'AEO Pacific'!Q$66-1</f>
        <v>0.34761175829592927</v>
      </c>
    </row>
    <row r="37" spans="1:13" x14ac:dyDescent="0.3">
      <c r="A37" s="144" t="s">
        <v>897</v>
      </c>
      <c r="B37" s="178">
        <f>'Electric Vehicles'!H72</f>
        <v>0.46353358457104865</v>
      </c>
      <c r="C37" s="178">
        <f>'Electric Vehicles'!H73</f>
        <v>0.40926991820660397</v>
      </c>
      <c r="D37" s="178">
        <f>'Electric Vehicles'!H74</f>
        <v>0.36231728288907994</v>
      </c>
      <c r="E37" s="178">
        <f>'Electric Vehicles'!H75</f>
        <v>0.29093491124260362</v>
      </c>
      <c r="F37" s="178">
        <f>'Electric Vehicles'!H76</f>
        <v>0.34801410982600167</v>
      </c>
      <c r="G37" s="178">
        <f>'Electric Vehicles'!H77</f>
        <v>0.2081856209388584</v>
      </c>
      <c r="H37" s="178">
        <f>'Electric Vehicles'!H78</f>
        <v>0.25680191290835985</v>
      </c>
      <c r="I37" s="178">
        <f>'Electric Vehicles'!H79</f>
        <v>0.33935109051843138</v>
      </c>
      <c r="J37" s="178">
        <f>'Electric Vehicles'!H80</f>
        <v>0.36331331779888876</v>
      </c>
      <c r="K37" s="178">
        <f>'Electric Vehicles'!H81</f>
        <v>0.32773791484927872</v>
      </c>
      <c r="L37" s="178">
        <f>'Electric Vehicles'!H82</f>
        <v>0.21977635679928298</v>
      </c>
      <c r="M37" s="178">
        <f>'Electric Vehicles'!H83</f>
        <v>0.25037495560403866</v>
      </c>
    </row>
    <row r="38" spans="1:13" x14ac:dyDescent="0.3">
      <c r="A38" s="144" t="s">
        <v>888</v>
      </c>
      <c r="B38" s="144"/>
      <c r="C38" s="144"/>
      <c r="D38" s="178">
        <f>SUM(Forecast_Main!L96:O96)/SUM(Forecast_Main!H96:K96)-1</f>
        <v>0.23959965723919607</v>
      </c>
      <c r="E38" s="178">
        <f>SUM(Forecast_Main!P96:S96)/SUM(Forecast_Main!L96:O96)-1</f>
        <v>0.3617723674690374</v>
      </c>
      <c r="F38" s="178">
        <f>SUM(Forecast_Main!T96:W96)/SUM(Forecast_Main!P96:S96)-1</f>
        <v>0.31182501193780254</v>
      </c>
      <c r="G38" s="178">
        <f>SUM(Forecast_Main!X96:AA96)/SUM(Forecast_Main!T96:W96)-1</f>
        <v>0.16847263504213461</v>
      </c>
      <c r="H38" s="179">
        <f>SUM(Forecast_Main!AB96:AE96)/SUM(Forecast_Main!X96:AA96)-1</f>
        <v>0.43613594028850899</v>
      </c>
      <c r="I38" s="179">
        <f>SUM(Forecast_Main!AF96:AI96)/SUM(Forecast_Main!AB96:AE96)-1</f>
        <v>0.47561645955468301</v>
      </c>
      <c r="J38" s="179">
        <f>SUM(Forecast_Main!AJ96:AM96)/SUM(Forecast_Main!AF96:AI96)-1</f>
        <v>0.31644740237919966</v>
      </c>
      <c r="K38" s="179">
        <f>SUM(Forecast_Main!AN96:AQ96)/SUM(Forecast_Main!AJ96:AM96)-1</f>
        <v>0.23902211418015162</v>
      </c>
      <c r="L38" s="179">
        <f>SUM(Forecast_Main!AR96:AU96)/SUM(Forecast_Main!AN96:AQ96)-1</f>
        <v>0.25366188463055517</v>
      </c>
      <c r="M38" s="179">
        <f>SUM(Forecast_Main!AV96:AY96)/SUM(Forecast_Main!AR96:AU96)-1</f>
        <v>0.32144085388932564</v>
      </c>
    </row>
    <row r="39" spans="1:13" x14ac:dyDescent="0.3">
      <c r="B39" s="62"/>
      <c r="C39" s="62"/>
      <c r="D39" s="62"/>
      <c r="E39" s="62"/>
      <c r="F39" s="62"/>
      <c r="G39" s="25"/>
    </row>
    <row r="40" spans="1:13" x14ac:dyDescent="0.3">
      <c r="A40" s="172" t="s">
        <v>898</v>
      </c>
      <c r="B40" s="144">
        <v>2015</v>
      </c>
      <c r="C40" s="144">
        <v>2016</v>
      </c>
      <c r="D40" s="144">
        <v>2017</v>
      </c>
      <c r="E40" s="144">
        <v>2018</v>
      </c>
      <c r="F40" s="144">
        <v>2019</v>
      </c>
      <c r="G40" s="162">
        <v>2020</v>
      </c>
      <c r="H40" s="144">
        <v>2021</v>
      </c>
      <c r="I40" s="163">
        <v>2022</v>
      </c>
      <c r="J40" s="163">
        <v>2023</v>
      </c>
      <c r="K40" s="163">
        <v>2024</v>
      </c>
      <c r="L40" s="163" t="s">
        <v>126</v>
      </c>
      <c r="M40" s="163" t="s">
        <v>127</v>
      </c>
    </row>
    <row r="41" spans="1:13" x14ac:dyDescent="0.3">
      <c r="A41" s="171" t="s">
        <v>886</v>
      </c>
      <c r="B41" s="176" t="e">
        <f>'AEO Pacific'!G71/'AEO Pacific'!F71-1</f>
        <v>#DIV/0!</v>
      </c>
      <c r="C41" s="176" t="e">
        <f>'AEO Pacific'!H71/'AEO Pacific'!G71-1</f>
        <v>#DIV/0!</v>
      </c>
      <c r="D41" s="176" t="e">
        <f>'AEO Pacific'!I71/'AEO Pacific'!H71-1</f>
        <v>#DIV/0!</v>
      </c>
      <c r="E41" s="176">
        <f>'AEO Pacific'!J71/'AEO Pacific'!I71-1</f>
        <v>0.39802053807908555</v>
      </c>
      <c r="F41" s="176">
        <f>'AEO Pacific'!K$66/'AEO Pacific'!J$66-1</f>
        <v>7.2041166380789168E-2</v>
      </c>
      <c r="G41" s="176">
        <f>'AEO Pacific'!L$66/'AEO Pacific'!K$66-1</f>
        <v>-6.5317647058823591E-2</v>
      </c>
      <c r="H41" s="176">
        <f>'AEO Pacific'!M$66/'AEO Pacific'!L$66-1</f>
        <v>0.35676165542241467</v>
      </c>
      <c r="I41" s="176">
        <f>'AEO Pacific'!N$66/'AEO Pacific'!M$66-1</f>
        <v>0.34073029538370214</v>
      </c>
      <c r="J41" s="176">
        <f>'AEO Pacific'!O$66/'AEO Pacific'!N$66-1</f>
        <v>0.26305009687240521</v>
      </c>
      <c r="K41" s="176">
        <f>'AEO Pacific'!P$66/'AEO Pacific'!O$66-1</f>
        <v>0.24819213744138136</v>
      </c>
      <c r="L41" s="176">
        <f>'AEO Pacific'!Q$66/'AEO Pacific'!P$66-1</f>
        <v>0.35333567415730349</v>
      </c>
      <c r="M41" s="176">
        <f>'AEO Pacific'!R$66/'AEO Pacific'!Q$66-1</f>
        <v>0.34761175829592927</v>
      </c>
    </row>
    <row r="42" spans="1:13" x14ac:dyDescent="0.3">
      <c r="A42" s="144" t="s">
        <v>888</v>
      </c>
      <c r="B42" s="144"/>
      <c r="C42" s="144"/>
      <c r="D42" s="178" t="e">
        <f>SUM(Forecast_Main!L102:O102)/SUM(Forecast_Main!H102:K102)-1</f>
        <v>#DIV/0!</v>
      </c>
      <c r="E42" s="178" t="e">
        <f>SUM(Forecast_Main!P102:S102)/SUM(Forecast_Main!L102:O102)-1</f>
        <v>#DIV/0!</v>
      </c>
      <c r="F42" s="178">
        <f>SUM(Forecast_Main!T102:W102)/SUM(Forecast_Main!P102:S102)-1</f>
        <v>0.28521819253078795</v>
      </c>
      <c r="G42" s="178">
        <f>SUM(Forecast_Main!X102:AA102)/SUM(Forecast_Main!T102:W102)-1</f>
        <v>0.4564001689647128</v>
      </c>
      <c r="H42" s="179">
        <f>SUM(Forecast_Main!AB102:AE102)/SUM(Forecast_Main!X102:AA102)-1</f>
        <v>0.53866970763647881</v>
      </c>
      <c r="I42" s="179">
        <f>SUM(Forecast_Main!AF102:AI102)/SUM(Forecast_Main!AB102:AE102)-1</f>
        <v>0.27418680006044838</v>
      </c>
      <c r="J42" s="179">
        <f>SUM(Forecast_Main!AJ102:AM102)/SUM(Forecast_Main!AF102:AI102)-1</f>
        <v>-0.31835253070836111</v>
      </c>
      <c r="K42" s="179">
        <f>SUM(Forecast_Main!AN102:AQ102)/SUM(Forecast_Main!AJ102:AM102)-1</f>
        <v>-4.1066299923808613E-2</v>
      </c>
      <c r="L42" s="179">
        <f>SUM(Forecast_Main!AR102:AU102)/SUM(Forecast_Main!AN102:AQ102)-1</f>
        <v>0.10000000000000031</v>
      </c>
      <c r="M42" s="179">
        <f>SUM(Forecast_Main!AV102:AY102)/SUM(Forecast_Main!AR102:AU102)-1</f>
        <v>0.14999999999999969</v>
      </c>
    </row>
    <row r="43" spans="1:13" x14ac:dyDescent="0.3">
      <c r="B43" s="62"/>
      <c r="C43" s="62"/>
      <c r="D43" s="62"/>
      <c r="E43" s="62"/>
      <c r="F43" s="62"/>
      <c r="G43" s="25"/>
    </row>
    <row r="44" spans="1:13" x14ac:dyDescent="0.3">
      <c r="B44" s="7"/>
      <c r="C44" s="7"/>
      <c r="D44" s="7"/>
      <c r="E44" s="7"/>
      <c r="F44" s="7"/>
      <c r="G44" s="7"/>
      <c r="H44" s="7"/>
      <c r="I44" s="7"/>
    </row>
    <row r="45" spans="1:13" x14ac:dyDescent="0.3">
      <c r="A45" s="172" t="s">
        <v>899</v>
      </c>
      <c r="B45" s="144">
        <v>2015</v>
      </c>
      <c r="C45" s="144">
        <v>2016</v>
      </c>
      <c r="D45" s="144">
        <v>2017</v>
      </c>
      <c r="E45" s="144">
        <v>2018</v>
      </c>
      <c r="F45" s="144">
        <v>2019</v>
      </c>
      <c r="G45" s="162">
        <v>2020</v>
      </c>
      <c r="H45" s="144">
        <v>2021</v>
      </c>
      <c r="I45" s="163">
        <v>2022</v>
      </c>
      <c r="J45" s="163">
        <v>2023</v>
      </c>
      <c r="K45" s="163">
        <v>2024</v>
      </c>
      <c r="L45" s="163" t="s">
        <v>126</v>
      </c>
      <c r="M45" s="163" t="s">
        <v>127</v>
      </c>
    </row>
    <row r="46" spans="1:13" x14ac:dyDescent="0.3">
      <c r="A46" s="171" t="s">
        <v>886</v>
      </c>
      <c r="B46" s="176">
        <f>'AEO Pacific'!G64/'AEO Pacific'!F64-1</f>
        <v>0.11111111111111116</v>
      </c>
      <c r="C46" s="176">
        <f>'AEO Pacific'!H64/'AEO Pacific'!G64-1</f>
        <v>0.79999999999999982</v>
      </c>
      <c r="D46" s="176">
        <f>'AEO Pacific'!I64/'AEO Pacific'!H64-1</f>
        <v>1.1944444444444535E-2</v>
      </c>
      <c r="E46" s="176">
        <f>'AEO Pacific'!J64/'AEO Pacific'!I64-1</f>
        <v>0.17101290145484493</v>
      </c>
      <c r="F46" s="176">
        <f>'AEO Pacific'!K64/'AEO Pacific'!J64-1</f>
        <v>0.18996718237224575</v>
      </c>
      <c r="G46" s="176">
        <f>'AEO Pacific'!L64/'AEO Pacific'!K64-1</f>
        <v>-0.20207233472539587</v>
      </c>
      <c r="H46" s="176">
        <f>'AEO Pacific'!M64/'AEO Pacific'!L64-1</f>
        <v>0.71061077371253645</v>
      </c>
      <c r="I46" s="176">
        <f>'AEO Pacific'!N64/'AEO Pacific'!M64-1</f>
        <v>-0.17087602828691018</v>
      </c>
      <c r="J46" s="176">
        <f>'AEO Pacific'!O64/'AEO Pacific'!N64-1</f>
        <v>9.5178416013925071E-2</v>
      </c>
      <c r="K46" s="176">
        <f>'AEO Pacific'!P64/'AEO Pacific'!O64-1</f>
        <v>-0.37903302711465714</v>
      </c>
      <c r="L46" s="176">
        <f>'AEO Pacific'!Q64/'AEO Pacific'!P64-1</f>
        <v>5.8715126695674469E-2</v>
      </c>
      <c r="M46" s="176">
        <f>'AEO Pacific'!R64/'AEO Pacific'!Q64-1</f>
        <v>2.0017406440383079E-2</v>
      </c>
    </row>
    <row r="47" spans="1:13" x14ac:dyDescent="0.3">
      <c r="A47" s="144" t="s">
        <v>888</v>
      </c>
      <c r="B47" s="144"/>
      <c r="C47" s="144"/>
      <c r="D47" s="178">
        <f>SUM(Forecast_Main!L108:O108)/SUM(Forecast_Main!H108:K108)-1</f>
        <v>0.83492490905832639</v>
      </c>
      <c r="E47" s="178">
        <f>SUM(Forecast_Main!P108:S108)/SUM(Forecast_Main!L108:O108)-1</f>
        <v>0.11404826378803201</v>
      </c>
      <c r="F47" s="178">
        <f>SUM(Forecast_Main!T108:W108)/SUM(Forecast_Main!P108:S108)-1</f>
        <v>7.1990448028482534E-2</v>
      </c>
      <c r="G47" s="178">
        <f>SUM(Forecast_Main!X108:AA108)/SUM(Forecast_Main!T108:W108)-1</f>
        <v>-7.0917662665370695E-3</v>
      </c>
      <c r="H47" s="179">
        <f>SUM(Forecast_Main!AB108:AE108)/SUM(Forecast_Main!X108:AA108)-1</f>
        <v>0.15823917392173814</v>
      </c>
      <c r="I47" s="179">
        <f>SUM(Forecast_Main!AF108:AI108)/SUM(Forecast_Main!AB108:AE108)-1</f>
        <v>3.8647306234080636E-2</v>
      </c>
      <c r="J47" s="179">
        <f>SUM(Forecast_Main!AJ108:AM108)/SUM(Forecast_Main!AF108:AI108)-1</f>
        <v>4.378155404558548E-4</v>
      </c>
      <c r="K47" s="179">
        <f>SUM(Forecast_Main!AN108:AQ108)/SUM(Forecast_Main!AJ108:AM108)-1</f>
        <v>-3.5469508873816613E-3</v>
      </c>
      <c r="L47" s="179">
        <f>SUM(Forecast_Main!AR108:AU108)/SUM(Forecast_Main!AN108:AQ108)-1</f>
        <v>3.3578889881461516E-2</v>
      </c>
      <c r="M47" s="179">
        <f>SUM(Forecast_Main!AV108:AY108)/SUM(Forecast_Main!AR108:AU108)-1</f>
        <v>3.2676468138791215E-2</v>
      </c>
    </row>
    <row r="48" spans="1:13" ht="7.5" customHeight="1" x14ac:dyDescent="0.3">
      <c r="A48" s="1"/>
      <c r="B48" s="1"/>
      <c r="C48" s="1"/>
      <c r="D48" s="173"/>
      <c r="E48" s="173"/>
      <c r="F48" s="173"/>
      <c r="G48" s="173"/>
      <c r="H48" s="173"/>
      <c r="I48" s="1"/>
      <c r="J48" s="1"/>
      <c r="K48" s="1"/>
      <c r="L48" s="1"/>
      <c r="M48" s="1"/>
    </row>
    <row r="49" spans="1:13" x14ac:dyDescent="0.3">
      <c r="A49" s="177" t="s">
        <v>135</v>
      </c>
      <c r="B49" s="177"/>
      <c r="C49" s="177"/>
      <c r="D49" s="136"/>
      <c r="E49" s="136">
        <f>'Table 1 - Volumes'!D22</f>
        <v>0.55618495655062805</v>
      </c>
      <c r="F49" s="136">
        <f>'Table 1 - Volumes'!E22</f>
        <v>0.67114314106009243</v>
      </c>
      <c r="G49" s="136">
        <f>'Table 1 - Volumes'!F22</f>
        <v>0.88724545959052281</v>
      </c>
      <c r="H49" s="136">
        <f>'Table 1 - Volumes'!G22</f>
        <v>0.91415199620677279</v>
      </c>
      <c r="I49" s="136">
        <f>'Table 1 - Volumes'!H22</f>
        <v>0.93974263621040199</v>
      </c>
      <c r="J49" s="136">
        <f>'Table 1 - Volumes'!I22</f>
        <v>0.99076393786800621</v>
      </c>
      <c r="K49" s="136">
        <f>'Table 1 - Volumes'!J22</f>
        <v>0.99565810731188109</v>
      </c>
      <c r="L49" s="136">
        <f>'Table 1 - Volumes'!K22</f>
        <v>0.99148669976631432</v>
      </c>
      <c r="M49" s="136">
        <f>'Table 1 - Volumes'!L22</f>
        <v>0.99</v>
      </c>
    </row>
    <row r="51" spans="1:13" x14ac:dyDescent="0.3">
      <c r="A51" s="172" t="s">
        <v>900</v>
      </c>
      <c r="B51" s="144"/>
      <c r="C51" s="144"/>
      <c r="D51" s="144">
        <v>2017</v>
      </c>
      <c r="E51" s="144">
        <v>2018</v>
      </c>
      <c r="F51" s="144">
        <v>2019</v>
      </c>
      <c r="G51" s="162">
        <v>2020</v>
      </c>
      <c r="H51" s="144">
        <v>2021</v>
      </c>
      <c r="I51" s="163">
        <v>2022</v>
      </c>
      <c r="J51" s="163">
        <v>2023</v>
      </c>
      <c r="K51" s="163">
        <v>2024</v>
      </c>
      <c r="L51" s="163" t="s">
        <v>126</v>
      </c>
      <c r="M51" s="163" t="s">
        <v>127</v>
      </c>
    </row>
    <row r="52" spans="1:13" x14ac:dyDescent="0.3">
      <c r="A52" s="171" t="s">
        <v>886</v>
      </c>
      <c r="B52" s="176"/>
      <c r="C52" s="176"/>
      <c r="D52" s="176"/>
      <c r="E52" s="176">
        <f>'AEO Pacific'!J54/'AEO Pacific'!I54-1</f>
        <v>7.7922077922077948E-2</v>
      </c>
      <c r="F52" s="176">
        <f>'AEO Pacific'!K54/'AEO Pacific'!J54-1</f>
        <v>-2.0429544264012667E-2</v>
      </c>
      <c r="G52" s="176">
        <f>'AEO Pacific'!L54/'AEO Pacific'!K54-1</f>
        <v>-0.4732620320855615</v>
      </c>
      <c r="H52" s="176">
        <f>'AEO Pacific'!M54/'AEO Pacific'!L54-1</f>
        <v>0.17258883248730972</v>
      </c>
      <c r="I52" s="176">
        <f>'AEO Pacific'!N54/'AEO Pacific'!M54-1</f>
        <v>0.12813852813852811</v>
      </c>
      <c r="J52" s="176">
        <f>'AEO Pacific'!O54/'AEO Pacific'!N54-1</f>
        <v>4.2210283960092188E-2</v>
      </c>
      <c r="K52" s="176">
        <f>'AEO Pacific'!P54/'AEO Pacific'!O54-1</f>
        <v>-0.11855670103092797</v>
      </c>
      <c r="L52" s="176">
        <f>'AEO Pacific'!Q54/'AEO Pacific'!P54-1</f>
        <v>-5.0125313283206907E-3</v>
      </c>
      <c r="M52" s="176">
        <f>'AEO Pacific'!R54/'AEO Pacific'!Q54-1</f>
        <v>-1.4273719563392184E-2</v>
      </c>
    </row>
    <row r="53" spans="1:13" x14ac:dyDescent="0.3">
      <c r="A53" s="144" t="s">
        <v>888</v>
      </c>
      <c r="B53" s="144"/>
      <c r="C53" s="144"/>
      <c r="D53" s="178">
        <f>SUM(Forecast_Main!L114:O114)/SUM(Forecast_Main!H114:K114)-1</f>
        <v>0.97219062259800149</v>
      </c>
      <c r="E53" s="178">
        <f>SUM(Forecast_Main!P114:S114)/SUM(Forecast_Main!L114:O114)-1</f>
        <v>4.7713947198166666</v>
      </c>
      <c r="F53" s="178">
        <f>SUM(Forecast_Main!T114:W114)/SUM(Forecast_Main!P114:S114)-1</f>
        <v>1.7762385571393455</v>
      </c>
      <c r="G53" s="178">
        <f>SUM(Forecast_Main!X114:AA114)/SUM(Forecast_Main!T114:W114)-1</f>
        <v>-0.28235818945240188</v>
      </c>
      <c r="H53" s="179">
        <f>SUM(Forecast_Main!AB114:AE114)/SUM(Forecast_Main!X114:AA114)-1</f>
        <v>0.65679909000195225</v>
      </c>
      <c r="I53" s="179">
        <f>SUM(Forecast_Main!AF114:AI114)/SUM(Forecast_Main!AB114:AE114)-1</f>
        <v>0.32380218628288948</v>
      </c>
      <c r="J53" s="179">
        <f>SUM(Forecast_Main!AJ114:AM114)/SUM(Forecast_Main!AF114:AI114)-1</f>
        <v>1.261000022253489E-2</v>
      </c>
      <c r="K53" s="179">
        <f>SUM(Forecast_Main!AN114:AQ114)/SUM(Forecast_Main!AJ114:AM114)-1</f>
        <v>-0.1995737806093375</v>
      </c>
      <c r="L53" s="179">
        <f>SUM(Forecast_Main!AR114:AU114)/SUM(Forecast_Main!AN114:AQ114)-1</f>
        <v>0.29451446168076756</v>
      </c>
      <c r="M53" s="179">
        <f>SUM(Forecast_Main!AV114:AY114)/SUM(Forecast_Main!AR114:AU114)-1</f>
        <v>0.20602899767247429</v>
      </c>
    </row>
    <row r="54" spans="1:13" ht="7.5" customHeight="1" x14ac:dyDescent="0.3">
      <c r="A54" s="1"/>
      <c r="B54" s="1"/>
      <c r="C54" s="1"/>
      <c r="D54" s="173"/>
      <c r="E54" s="173"/>
      <c r="F54" s="173"/>
      <c r="G54" s="173"/>
      <c r="H54" s="173"/>
      <c r="I54" s="1"/>
      <c r="J54" s="1"/>
      <c r="K54" s="1"/>
      <c r="L54" s="1"/>
      <c r="M54" s="1"/>
    </row>
    <row r="55" spans="1:13" x14ac:dyDescent="0.3">
      <c r="A55" s="177" t="s">
        <v>139</v>
      </c>
      <c r="B55" s="177"/>
      <c r="C55" s="177"/>
      <c r="D55" s="136"/>
      <c r="E55" s="136"/>
      <c r="F55" s="136"/>
      <c r="G55" s="137"/>
      <c r="H55" s="136">
        <f>+'Table 1 - Volumes'!G27</f>
        <v>0.28537918714661725</v>
      </c>
      <c r="I55" s="136">
        <f>+'Table 1 - Volumes'!H27</f>
        <v>0.20715585600510347</v>
      </c>
      <c r="J55" s="136">
        <f>+'Table 1 - Volumes'!I27</f>
        <v>0.22624973025538062</v>
      </c>
      <c r="K55" s="136">
        <f>+'Table 1 - Volumes'!J27</f>
        <v>0</v>
      </c>
      <c r="L55" s="136">
        <f>+'Table 1 - Volumes'!K27</f>
        <v>0.1516494840179492</v>
      </c>
      <c r="M55" s="136">
        <f>+'Table 1 - Volumes'!L27</f>
        <v>0.25</v>
      </c>
    </row>
  </sheetData>
  <mergeCells count="1">
    <mergeCell ref="A1:J1"/>
  </mergeCells>
  <pageMargins left="0.7" right="0.7" top="0.75" bottom="0.75" header="0.3" footer="0.3"/>
  <pageSetup orientation="portrait" horizontalDpi="200" verticalDpi="200" r:id="rId1"/>
  <ignoredErrors>
    <ignoredError sqref="F9:L9"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Q4:T6"/>
  <sheetViews>
    <sheetView zoomScale="75" zoomScaleNormal="75" workbookViewId="0">
      <selection activeCell="W64" sqref="W64"/>
    </sheetView>
  </sheetViews>
  <sheetFormatPr defaultRowHeight="14.4" x14ac:dyDescent="0.3"/>
  <sheetData>
    <row r="4" spans="17:20" x14ac:dyDescent="0.3">
      <c r="Q4" s="138"/>
      <c r="S4" s="138"/>
      <c r="T4" s="138"/>
    </row>
    <row r="5" spans="17:20" x14ac:dyDescent="0.3">
      <c r="T5" s="138"/>
    </row>
    <row r="6" spans="17:20" x14ac:dyDescent="0.3">
      <c r="T6" s="138"/>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174"/>
  <sheetViews>
    <sheetView zoomScale="70" zoomScaleNormal="70" workbookViewId="0">
      <pane xSplit="7" ySplit="3" topLeftCell="AN69" activePane="bottomRight" state="frozen"/>
      <selection pane="topRight" activeCell="D32" sqref="D32"/>
      <selection pane="bottomLeft" activeCell="D32" sqref="D32"/>
      <selection pane="bottomRight" activeCell="AR88" sqref="AR88"/>
    </sheetView>
  </sheetViews>
  <sheetFormatPr defaultRowHeight="14.4" x14ac:dyDescent="0.3"/>
  <cols>
    <col min="5" max="5" width="12.33203125" bestFit="1" customWidth="1"/>
    <col min="6" max="6" width="14.5546875" bestFit="1" customWidth="1"/>
    <col min="7" max="7" width="25.88671875" customWidth="1"/>
    <col min="8" max="32" width="13" customWidth="1"/>
    <col min="33" max="33" width="14.109375" customWidth="1"/>
    <col min="34" max="39" width="14.33203125" customWidth="1"/>
    <col min="40" max="46" width="15.88671875" customWidth="1"/>
    <col min="47" max="51" width="18.6640625" customWidth="1"/>
  </cols>
  <sheetData>
    <row r="1" spans="1:51" ht="21" x14ac:dyDescent="0.4">
      <c r="E1" s="48" t="s">
        <v>0</v>
      </c>
      <c r="AS1" s="72" t="s">
        <v>1</v>
      </c>
      <c r="AT1" s="50"/>
      <c r="AU1" s="50"/>
      <c r="AV1" s="50"/>
      <c r="AW1" s="50"/>
      <c r="AX1" s="50"/>
      <c r="AY1" s="50"/>
    </row>
    <row r="2" spans="1:51" x14ac:dyDescent="0.3">
      <c r="A2" s="98" t="s">
        <v>2</v>
      </c>
      <c r="B2" s="98"/>
      <c r="C2" s="98"/>
      <c r="E2" s="14" t="s">
        <v>2</v>
      </c>
      <c r="H2" s="14" t="s">
        <v>3</v>
      </c>
    </row>
    <row r="3" spans="1:51" x14ac:dyDescent="0.3">
      <c r="A3" s="100" t="s">
        <v>4</v>
      </c>
      <c r="B3" s="100" t="s">
        <v>5</v>
      </c>
      <c r="C3" s="100" t="s">
        <v>6</v>
      </c>
      <c r="E3" s="14" t="s">
        <v>4</v>
      </c>
      <c r="F3" s="14" t="s">
        <v>5</v>
      </c>
      <c r="G3" s="14" t="s">
        <v>6</v>
      </c>
      <c r="H3" s="15">
        <v>42370</v>
      </c>
      <c r="I3" s="15">
        <v>42461</v>
      </c>
      <c r="J3" s="15">
        <v>42552</v>
      </c>
      <c r="K3" s="15">
        <v>42644</v>
      </c>
      <c r="L3" s="15">
        <v>42736</v>
      </c>
      <c r="M3" s="15">
        <v>42826</v>
      </c>
      <c r="N3" s="15">
        <v>42917</v>
      </c>
      <c r="O3" s="15">
        <v>43009</v>
      </c>
      <c r="P3" s="15">
        <v>43101</v>
      </c>
      <c r="Q3" s="15">
        <v>43191</v>
      </c>
      <c r="R3" s="15">
        <v>43282</v>
      </c>
      <c r="S3" s="15">
        <v>43374</v>
      </c>
      <c r="T3" s="15">
        <v>43466</v>
      </c>
      <c r="U3" s="15">
        <v>43556</v>
      </c>
      <c r="V3" s="15">
        <v>43647</v>
      </c>
      <c r="W3" s="15">
        <v>43739</v>
      </c>
      <c r="X3" s="15">
        <v>43831</v>
      </c>
      <c r="Y3" s="15">
        <v>43922</v>
      </c>
      <c r="Z3" s="15">
        <v>44013</v>
      </c>
      <c r="AA3" s="15">
        <v>44105</v>
      </c>
      <c r="AB3" s="15">
        <v>44197</v>
      </c>
      <c r="AC3" s="15">
        <v>44287</v>
      </c>
      <c r="AD3" s="15">
        <v>44378</v>
      </c>
      <c r="AE3" s="15">
        <v>44470</v>
      </c>
      <c r="AF3" s="15">
        <v>44562</v>
      </c>
      <c r="AG3" s="15">
        <v>44652</v>
      </c>
      <c r="AH3" s="15">
        <v>44743</v>
      </c>
      <c r="AI3" s="15">
        <v>44835</v>
      </c>
      <c r="AJ3" s="15">
        <v>44927</v>
      </c>
      <c r="AK3" s="15">
        <v>45017</v>
      </c>
      <c r="AL3" s="15">
        <v>45108</v>
      </c>
      <c r="AM3" s="15">
        <v>45200</v>
      </c>
      <c r="AN3" s="15">
        <v>45292</v>
      </c>
      <c r="AO3" s="15">
        <v>45383</v>
      </c>
      <c r="AP3" s="15">
        <v>45474</v>
      </c>
      <c r="AQ3" s="15">
        <v>45566</v>
      </c>
      <c r="AR3" s="15">
        <v>45658</v>
      </c>
      <c r="AS3" s="15">
        <v>45748</v>
      </c>
      <c r="AT3" s="15">
        <v>45839</v>
      </c>
      <c r="AU3" s="15">
        <v>45931</v>
      </c>
      <c r="AV3" s="15">
        <v>46023</v>
      </c>
      <c r="AW3" s="15">
        <v>46113</v>
      </c>
      <c r="AX3" s="15">
        <v>46204</v>
      </c>
      <c r="AY3" s="15">
        <v>46296</v>
      </c>
    </row>
    <row r="4" spans="1:51" x14ac:dyDescent="0.3">
      <c r="A4" s="22" t="s">
        <v>7</v>
      </c>
      <c r="B4" s="22" t="s">
        <v>8</v>
      </c>
      <c r="C4" t="s">
        <v>9</v>
      </c>
      <c r="E4" t="s">
        <v>7</v>
      </c>
      <c r="F4" t="s">
        <v>8</v>
      </c>
      <c r="G4" t="s">
        <v>9</v>
      </c>
      <c r="H4">
        <v>190787754</v>
      </c>
      <c r="I4">
        <v>157566921</v>
      </c>
      <c r="J4">
        <v>184886343</v>
      </c>
      <c r="K4">
        <v>163486021</v>
      </c>
      <c r="L4">
        <v>139086543</v>
      </c>
      <c r="M4">
        <v>184749867</v>
      </c>
      <c r="N4">
        <v>193087164</v>
      </c>
      <c r="O4">
        <v>161636376</v>
      </c>
      <c r="P4">
        <v>162000728</v>
      </c>
      <c r="Q4">
        <v>184700513</v>
      </c>
      <c r="R4">
        <v>208472910</v>
      </c>
      <c r="S4">
        <v>172121556</v>
      </c>
      <c r="T4">
        <v>173067446</v>
      </c>
      <c r="U4">
        <v>167000751</v>
      </c>
      <c r="V4">
        <v>188320552</v>
      </c>
      <c r="W4">
        <v>182188128</v>
      </c>
      <c r="X4">
        <v>144363444</v>
      </c>
      <c r="Y4">
        <v>182674337</v>
      </c>
      <c r="Z4">
        <v>174916666</v>
      </c>
      <c r="AA4">
        <v>178080356</v>
      </c>
      <c r="AB4">
        <v>187081055</v>
      </c>
      <c r="AC4">
        <v>186795283</v>
      </c>
      <c r="AD4">
        <v>205513203</v>
      </c>
      <c r="AE4">
        <v>172956245</v>
      </c>
      <c r="AF4">
        <v>200323039</v>
      </c>
      <c r="AG4">
        <v>179403589</v>
      </c>
      <c r="AH4">
        <v>200823154</v>
      </c>
      <c r="AI4">
        <v>193031880</v>
      </c>
      <c r="AJ4">
        <v>158997982</v>
      </c>
      <c r="AK4">
        <v>146825076</v>
      </c>
      <c r="AL4">
        <v>172845013</v>
      </c>
      <c r="AM4">
        <v>144934191</v>
      </c>
      <c r="AN4">
        <v>131321328</v>
      </c>
      <c r="AO4">
        <v>136386418</v>
      </c>
      <c r="AP4">
        <v>177190864</v>
      </c>
      <c r="AQ4">
        <v>187922491</v>
      </c>
      <c r="AR4">
        <v>143943188</v>
      </c>
    </row>
    <row r="5" spans="1:51" x14ac:dyDescent="0.3">
      <c r="A5" s="22"/>
      <c r="B5" s="22"/>
      <c r="C5" t="s">
        <v>10</v>
      </c>
      <c r="G5" t="s">
        <v>10</v>
      </c>
      <c r="H5">
        <v>0</v>
      </c>
      <c r="I5">
        <v>0</v>
      </c>
      <c r="J5">
        <v>0</v>
      </c>
      <c r="K5">
        <v>0</v>
      </c>
      <c r="L5">
        <v>0</v>
      </c>
      <c r="M5">
        <v>0</v>
      </c>
      <c r="N5">
        <v>0</v>
      </c>
      <c r="O5">
        <v>0</v>
      </c>
      <c r="P5">
        <v>0</v>
      </c>
      <c r="Q5">
        <v>16659</v>
      </c>
      <c r="R5">
        <v>0</v>
      </c>
      <c r="S5">
        <v>0</v>
      </c>
      <c r="T5">
        <v>-1915</v>
      </c>
      <c r="U5">
        <v>-6563</v>
      </c>
      <c r="V5">
        <v>-7587</v>
      </c>
      <c r="W5">
        <v>-5258</v>
      </c>
      <c r="X5">
        <v>-29358</v>
      </c>
      <c r="Y5">
        <v>-11347</v>
      </c>
      <c r="Z5">
        <v>-12518</v>
      </c>
      <c r="AA5">
        <v>-24341</v>
      </c>
      <c r="AB5">
        <v>-66271</v>
      </c>
      <c r="AC5">
        <v>-168425</v>
      </c>
      <c r="AD5">
        <v>-119854</v>
      </c>
      <c r="AE5">
        <v>-87451</v>
      </c>
      <c r="AF5">
        <v>-111036</v>
      </c>
      <c r="AG5">
        <v>-250171</v>
      </c>
      <c r="AH5">
        <v>-455526</v>
      </c>
      <c r="AI5">
        <v>-153293</v>
      </c>
      <c r="AJ5">
        <v>-340412</v>
      </c>
      <c r="AK5">
        <v>-21738</v>
      </c>
      <c r="AL5">
        <v>-213937</v>
      </c>
      <c r="AM5">
        <v>-106863</v>
      </c>
      <c r="AN5">
        <v>-149055</v>
      </c>
      <c r="AO5">
        <v>-291397</v>
      </c>
      <c r="AP5">
        <v>-346618</v>
      </c>
      <c r="AQ5">
        <v>-168168</v>
      </c>
      <c r="AR5">
        <v>-65369</v>
      </c>
    </row>
    <row r="6" spans="1:51" x14ac:dyDescent="0.3">
      <c r="A6" s="22"/>
      <c r="B6" s="22"/>
      <c r="C6" t="s">
        <v>11</v>
      </c>
      <c r="G6" t="s">
        <v>11</v>
      </c>
      <c r="H6">
        <v>10272272</v>
      </c>
      <c r="I6">
        <v>921340</v>
      </c>
      <c r="J6">
        <v>-556919</v>
      </c>
      <c r="K6">
        <v>2169583</v>
      </c>
      <c r="L6">
        <v>1604260</v>
      </c>
      <c r="M6">
        <v>369644</v>
      </c>
      <c r="N6">
        <v>71965</v>
      </c>
      <c r="O6">
        <v>2358476</v>
      </c>
      <c r="P6">
        <v>-76495</v>
      </c>
      <c r="Q6">
        <v>-3230950</v>
      </c>
      <c r="R6">
        <v>-3865648</v>
      </c>
      <c r="S6">
        <v>-4155248</v>
      </c>
      <c r="T6">
        <v>1815092</v>
      </c>
      <c r="U6">
        <v>2970595</v>
      </c>
      <c r="V6">
        <v>3828923</v>
      </c>
      <c r="W6">
        <v>1063480</v>
      </c>
      <c r="X6">
        <v>-3143540</v>
      </c>
      <c r="Y6">
        <v>-4134904</v>
      </c>
      <c r="Z6">
        <v>-4883807</v>
      </c>
      <c r="AA6">
        <v>-4854681</v>
      </c>
      <c r="AB6">
        <v>-4869303</v>
      </c>
      <c r="AC6">
        <v>-3124932</v>
      </c>
      <c r="AD6">
        <v>-4614042</v>
      </c>
      <c r="AE6">
        <v>-4779172</v>
      </c>
      <c r="AF6">
        <v>-2515397</v>
      </c>
      <c r="AG6">
        <v>-2137719</v>
      </c>
      <c r="AH6">
        <v>-6822177</v>
      </c>
      <c r="AI6">
        <v>-7011690</v>
      </c>
      <c r="AJ6">
        <v>-8583382</v>
      </c>
      <c r="AK6">
        <v>-7978966</v>
      </c>
      <c r="AL6">
        <v>-9213044</v>
      </c>
      <c r="AM6">
        <v>-10155031</v>
      </c>
      <c r="AN6">
        <v>-9700186</v>
      </c>
      <c r="AO6">
        <v>-13673978</v>
      </c>
      <c r="AP6">
        <v>-16729434</v>
      </c>
      <c r="AQ6">
        <v>-12672546</v>
      </c>
      <c r="AR6">
        <v>-10167538</v>
      </c>
    </row>
    <row r="7" spans="1:51" x14ac:dyDescent="0.3">
      <c r="A7" s="22"/>
      <c r="B7" s="22"/>
      <c r="C7" t="s">
        <v>12</v>
      </c>
      <c r="G7" t="s">
        <v>12</v>
      </c>
      <c r="H7">
        <v>375239852</v>
      </c>
      <c r="I7">
        <v>326790235</v>
      </c>
      <c r="J7">
        <v>377613067</v>
      </c>
      <c r="K7">
        <v>320334675</v>
      </c>
      <c r="L7">
        <v>263889421</v>
      </c>
      <c r="M7">
        <v>350623417</v>
      </c>
      <c r="N7">
        <v>398951677</v>
      </c>
      <c r="O7">
        <v>357091065</v>
      </c>
      <c r="P7">
        <v>321854625</v>
      </c>
      <c r="Q7">
        <v>396182867</v>
      </c>
      <c r="R7">
        <v>389458429</v>
      </c>
      <c r="S7">
        <v>366279718</v>
      </c>
      <c r="T7">
        <v>354697520</v>
      </c>
      <c r="U7">
        <v>375142035</v>
      </c>
      <c r="V7">
        <v>380436068</v>
      </c>
      <c r="W7">
        <v>386779897</v>
      </c>
      <c r="X7">
        <v>338071337</v>
      </c>
      <c r="Y7">
        <v>262671827</v>
      </c>
      <c r="Z7">
        <v>393254333</v>
      </c>
      <c r="AA7">
        <v>319331478</v>
      </c>
      <c r="AB7">
        <v>338003033</v>
      </c>
      <c r="AC7">
        <v>335115102</v>
      </c>
      <c r="AD7">
        <v>395604291</v>
      </c>
      <c r="AE7">
        <v>334429692</v>
      </c>
      <c r="AF7">
        <v>328070608</v>
      </c>
      <c r="AG7">
        <v>342958423</v>
      </c>
      <c r="AH7">
        <v>373023310</v>
      </c>
      <c r="AI7">
        <v>377842013</v>
      </c>
      <c r="AJ7">
        <v>325762323</v>
      </c>
      <c r="AK7">
        <v>334842457</v>
      </c>
      <c r="AL7">
        <v>374350169</v>
      </c>
      <c r="AM7">
        <v>340914498</v>
      </c>
      <c r="AN7">
        <v>327927653</v>
      </c>
      <c r="AO7">
        <v>373051053</v>
      </c>
      <c r="AP7">
        <v>342429790</v>
      </c>
      <c r="AQ7">
        <v>347842159</v>
      </c>
      <c r="AR7">
        <v>324837152</v>
      </c>
    </row>
    <row r="8" spans="1:51" x14ac:dyDescent="0.3">
      <c r="A8" s="22"/>
      <c r="B8" s="22"/>
      <c r="C8" t="s">
        <v>13</v>
      </c>
      <c r="G8" t="s">
        <v>13</v>
      </c>
      <c r="H8">
        <v>6826453</v>
      </c>
      <c r="I8">
        <v>1428586</v>
      </c>
      <c r="J8">
        <v>1836989</v>
      </c>
      <c r="K8">
        <v>17687671</v>
      </c>
      <c r="L8">
        <v>15472789</v>
      </c>
      <c r="M8">
        <v>19442225</v>
      </c>
      <c r="N8">
        <v>26862864</v>
      </c>
      <c r="O8">
        <v>20220327</v>
      </c>
      <c r="P8">
        <v>18561719</v>
      </c>
      <c r="Q8">
        <v>20982579</v>
      </c>
      <c r="R8">
        <v>19554903</v>
      </c>
      <c r="S8">
        <v>13918141</v>
      </c>
      <c r="T8">
        <v>19781062</v>
      </c>
      <c r="U8">
        <v>20857756</v>
      </c>
      <c r="V8">
        <v>18078829</v>
      </c>
      <c r="W8">
        <v>17233972</v>
      </c>
      <c r="X8">
        <v>-12695205</v>
      </c>
      <c r="Y8">
        <v>-11198298</v>
      </c>
      <c r="Z8">
        <v>-14835761</v>
      </c>
      <c r="AA8">
        <v>-14130390</v>
      </c>
      <c r="AB8">
        <v>-11274833</v>
      </c>
      <c r="AC8">
        <v>-15054172</v>
      </c>
      <c r="AD8">
        <v>-17746252</v>
      </c>
      <c r="AE8">
        <v>-15588380</v>
      </c>
      <c r="AF8">
        <v>-13854738</v>
      </c>
      <c r="AG8">
        <v>-15747646</v>
      </c>
      <c r="AH8">
        <v>-20404579</v>
      </c>
      <c r="AI8">
        <v>-19614607</v>
      </c>
      <c r="AJ8">
        <v>-21909644</v>
      </c>
      <c r="AK8">
        <v>-18610177</v>
      </c>
      <c r="AL8">
        <v>-4772756</v>
      </c>
      <c r="AM8">
        <v>-10792047</v>
      </c>
      <c r="AN8">
        <v>-7494379</v>
      </c>
      <c r="AO8">
        <v>-10558299</v>
      </c>
      <c r="AP8">
        <v>-12683083</v>
      </c>
      <c r="AQ8">
        <v>-13042045</v>
      </c>
      <c r="AR8">
        <v>-3926018</v>
      </c>
    </row>
    <row r="9" spans="1:51" x14ac:dyDescent="0.3">
      <c r="A9" s="22"/>
      <c r="B9" s="22" t="s">
        <v>14</v>
      </c>
      <c r="C9" s="22"/>
      <c r="F9" t="s">
        <v>14</v>
      </c>
      <c r="H9">
        <v>583126331</v>
      </c>
      <c r="I9">
        <v>486707082</v>
      </c>
      <c r="J9">
        <v>563779480</v>
      </c>
      <c r="K9">
        <v>503677950</v>
      </c>
      <c r="L9">
        <v>420053013</v>
      </c>
      <c r="M9">
        <v>555185153</v>
      </c>
      <c r="N9">
        <v>618973670</v>
      </c>
      <c r="O9">
        <v>541306244</v>
      </c>
      <c r="P9">
        <v>502340577</v>
      </c>
      <c r="Q9">
        <v>598651668</v>
      </c>
      <c r="R9">
        <v>613620594</v>
      </c>
      <c r="S9">
        <v>548164167</v>
      </c>
      <c r="T9">
        <v>549359205</v>
      </c>
      <c r="U9">
        <v>565964574</v>
      </c>
      <c r="V9">
        <v>590656785</v>
      </c>
      <c r="W9">
        <v>587260219</v>
      </c>
      <c r="X9">
        <v>466566678</v>
      </c>
      <c r="Y9">
        <v>430001615</v>
      </c>
      <c r="Z9">
        <v>548438913</v>
      </c>
      <c r="AA9">
        <v>478402422</v>
      </c>
      <c r="AB9">
        <v>508873681</v>
      </c>
      <c r="AC9">
        <v>503562856</v>
      </c>
      <c r="AD9">
        <v>578637346</v>
      </c>
      <c r="AE9">
        <v>486930934</v>
      </c>
      <c r="AF9">
        <v>511912476</v>
      </c>
      <c r="AG9">
        <v>504226476</v>
      </c>
      <c r="AH9">
        <v>546164182</v>
      </c>
      <c r="AI9">
        <v>544094303</v>
      </c>
      <c r="AJ9">
        <v>453926867</v>
      </c>
      <c r="AK9">
        <v>455056652</v>
      </c>
      <c r="AL9">
        <v>532995445</v>
      </c>
      <c r="AM9">
        <v>464794748</v>
      </c>
      <c r="AN9">
        <v>441905361</v>
      </c>
      <c r="AO9">
        <v>484913797</v>
      </c>
      <c r="AP9">
        <v>489861519</v>
      </c>
      <c r="AQ9">
        <v>509881891</v>
      </c>
      <c r="AR9">
        <v>454621415</v>
      </c>
    </row>
    <row r="10" spans="1:51" x14ac:dyDescent="0.3">
      <c r="A10" s="22"/>
      <c r="B10" s="22" t="s">
        <v>15</v>
      </c>
      <c r="C10" t="s">
        <v>16</v>
      </c>
      <c r="F10" t="s">
        <v>15</v>
      </c>
      <c r="G10" t="s">
        <v>16</v>
      </c>
      <c r="H10">
        <v>0</v>
      </c>
      <c r="I10">
        <v>0</v>
      </c>
      <c r="J10">
        <v>218045</v>
      </c>
      <c r="K10">
        <v>336127</v>
      </c>
      <c r="L10">
        <v>319232</v>
      </c>
      <c r="M10">
        <v>423939</v>
      </c>
      <c r="N10">
        <v>362446</v>
      </c>
      <c r="O10">
        <v>402283</v>
      </c>
      <c r="P10">
        <v>187421</v>
      </c>
      <c r="Q10">
        <v>322942</v>
      </c>
      <c r="R10">
        <v>368794</v>
      </c>
      <c r="S10">
        <v>457502</v>
      </c>
      <c r="T10">
        <v>429379</v>
      </c>
      <c r="U10">
        <v>471796</v>
      </c>
      <c r="V10">
        <v>495990</v>
      </c>
      <c r="W10">
        <v>532362</v>
      </c>
      <c r="X10">
        <v>593514</v>
      </c>
      <c r="Y10">
        <v>641800</v>
      </c>
      <c r="Z10">
        <v>674289</v>
      </c>
      <c r="AA10">
        <v>720232</v>
      </c>
      <c r="AB10">
        <v>748636</v>
      </c>
      <c r="AC10">
        <v>818593</v>
      </c>
      <c r="AD10">
        <v>945322</v>
      </c>
      <c r="AE10">
        <v>971285</v>
      </c>
      <c r="AF10">
        <v>920221</v>
      </c>
      <c r="AG10">
        <v>906921</v>
      </c>
      <c r="AH10">
        <v>957070</v>
      </c>
      <c r="AI10">
        <v>935560</v>
      </c>
      <c r="AJ10">
        <v>985389</v>
      </c>
      <c r="AK10">
        <v>990371</v>
      </c>
      <c r="AL10">
        <v>981748</v>
      </c>
      <c r="AM10">
        <v>965938</v>
      </c>
      <c r="AN10">
        <v>918084</v>
      </c>
      <c r="AO10">
        <v>997064</v>
      </c>
      <c r="AP10">
        <v>1018131</v>
      </c>
      <c r="AQ10">
        <v>995563</v>
      </c>
      <c r="AR10">
        <v>944234</v>
      </c>
    </row>
    <row r="11" spans="1:51" x14ac:dyDescent="0.3">
      <c r="A11" s="22"/>
      <c r="B11" s="22"/>
      <c r="C11" t="s">
        <v>17</v>
      </c>
      <c r="G11" t="s">
        <v>17</v>
      </c>
      <c r="H11">
        <v>88727</v>
      </c>
      <c r="I11">
        <v>81346</v>
      </c>
      <c r="J11">
        <v>98006</v>
      </c>
      <c r="K11">
        <v>92354</v>
      </c>
      <c r="L11">
        <v>99904</v>
      </c>
      <c r="M11">
        <v>115353</v>
      </c>
      <c r="N11">
        <v>104296</v>
      </c>
      <c r="O11">
        <v>33816</v>
      </c>
      <c r="P11">
        <v>84406</v>
      </c>
      <c r="Q11">
        <v>111748</v>
      </c>
      <c r="R11">
        <v>105494</v>
      </c>
      <c r="S11">
        <v>81027</v>
      </c>
      <c r="T11">
        <v>74326</v>
      </c>
      <c r="U11">
        <v>83726</v>
      </c>
      <c r="V11">
        <v>60935</v>
      </c>
      <c r="W11">
        <v>75549</v>
      </c>
      <c r="X11">
        <v>61614</v>
      </c>
      <c r="Y11">
        <v>67090</v>
      </c>
      <c r="Z11">
        <v>86146</v>
      </c>
      <c r="AA11">
        <v>74656</v>
      </c>
      <c r="AB11">
        <v>0</v>
      </c>
      <c r="AC11">
        <v>0</v>
      </c>
      <c r="AD11">
        <v>0</v>
      </c>
      <c r="AE11">
        <v>0</v>
      </c>
      <c r="AF11">
        <v>0</v>
      </c>
      <c r="AG11">
        <v>0</v>
      </c>
      <c r="AH11">
        <v>0</v>
      </c>
      <c r="AI11">
        <v>0</v>
      </c>
      <c r="AJ11">
        <v>0</v>
      </c>
      <c r="AK11">
        <v>0</v>
      </c>
      <c r="AL11">
        <v>0</v>
      </c>
      <c r="AM11">
        <v>0</v>
      </c>
      <c r="AN11">
        <v>0</v>
      </c>
      <c r="AO11">
        <v>0</v>
      </c>
      <c r="AP11">
        <v>0</v>
      </c>
      <c r="AQ11">
        <v>0</v>
      </c>
      <c r="AR11">
        <v>0</v>
      </c>
    </row>
    <row r="12" spans="1:51" x14ac:dyDescent="0.3">
      <c r="A12" s="22"/>
      <c r="B12" s="22"/>
      <c r="C12" t="s">
        <v>18</v>
      </c>
      <c r="G12" t="s">
        <v>18</v>
      </c>
      <c r="H12">
        <v>11353817</v>
      </c>
      <c r="I12">
        <v>11119753</v>
      </c>
      <c r="J12">
        <v>13040561</v>
      </c>
      <c r="K12">
        <v>11380628</v>
      </c>
      <c r="L12">
        <v>9024384</v>
      </c>
      <c r="M12">
        <v>13381643</v>
      </c>
      <c r="N12">
        <v>14467683</v>
      </c>
      <c r="O12">
        <v>14095269</v>
      </c>
      <c r="P12">
        <v>10797938</v>
      </c>
      <c r="Q12">
        <v>13219212</v>
      </c>
      <c r="R12">
        <v>14939801</v>
      </c>
      <c r="S12">
        <v>13234476</v>
      </c>
      <c r="T12">
        <v>11226878</v>
      </c>
      <c r="U12">
        <v>16376995</v>
      </c>
      <c r="V12">
        <v>16836304</v>
      </c>
      <c r="W12">
        <v>15256559</v>
      </c>
      <c r="X12">
        <v>15477625</v>
      </c>
      <c r="Y12">
        <v>16370864</v>
      </c>
      <c r="Z12">
        <v>18513397</v>
      </c>
      <c r="AA12">
        <v>18868338</v>
      </c>
      <c r="AB12">
        <v>15348571</v>
      </c>
      <c r="AC12">
        <v>20411953</v>
      </c>
      <c r="AD12">
        <v>21240338</v>
      </c>
      <c r="AE12">
        <v>19666822</v>
      </c>
      <c r="AF12">
        <v>17851284</v>
      </c>
      <c r="AG12">
        <v>23968115</v>
      </c>
      <c r="AH12">
        <v>16994336</v>
      </c>
      <c r="AI12">
        <v>23527241</v>
      </c>
      <c r="AJ12">
        <v>17945468</v>
      </c>
      <c r="AK12">
        <v>19268958</v>
      </c>
      <c r="AL12">
        <v>21040196</v>
      </c>
      <c r="AM12">
        <v>21358407</v>
      </c>
      <c r="AN12">
        <v>16228778</v>
      </c>
      <c r="AO12">
        <v>19238482</v>
      </c>
      <c r="AP12">
        <v>22115676</v>
      </c>
      <c r="AQ12">
        <v>21878814</v>
      </c>
      <c r="AR12">
        <v>13709199</v>
      </c>
    </row>
    <row r="13" spans="1:51" x14ac:dyDescent="0.3">
      <c r="A13" s="22"/>
      <c r="B13" s="22"/>
      <c r="C13" t="s">
        <v>19</v>
      </c>
      <c r="G13" t="s">
        <v>19</v>
      </c>
      <c r="H13">
        <v>0</v>
      </c>
      <c r="I13">
        <v>0</v>
      </c>
      <c r="J13">
        <v>0</v>
      </c>
      <c r="K13">
        <v>0</v>
      </c>
      <c r="L13">
        <v>0</v>
      </c>
      <c r="M13">
        <v>0</v>
      </c>
      <c r="N13">
        <v>0</v>
      </c>
      <c r="O13">
        <v>337496</v>
      </c>
      <c r="P13">
        <v>301585</v>
      </c>
      <c r="Q13">
        <v>202848</v>
      </c>
      <c r="R13">
        <v>226799</v>
      </c>
      <c r="S13">
        <v>488983</v>
      </c>
      <c r="T13">
        <v>161527</v>
      </c>
      <c r="U13">
        <v>455869</v>
      </c>
      <c r="V13">
        <v>11311233</v>
      </c>
      <c r="W13">
        <v>4290785</v>
      </c>
      <c r="X13">
        <v>7187193</v>
      </c>
      <c r="Y13">
        <v>6251613</v>
      </c>
      <c r="Z13">
        <v>206541</v>
      </c>
      <c r="AA13">
        <v>3942228</v>
      </c>
      <c r="AB13">
        <v>6937535</v>
      </c>
      <c r="AC13">
        <v>-458422</v>
      </c>
      <c r="AD13">
        <v>3338045</v>
      </c>
      <c r="AE13">
        <v>66684</v>
      </c>
      <c r="AF13">
        <v>14187568</v>
      </c>
      <c r="AG13">
        <v>5088042</v>
      </c>
      <c r="AH13">
        <v>8691617</v>
      </c>
      <c r="AI13">
        <v>19071172</v>
      </c>
      <c r="AJ13">
        <v>24006743</v>
      </c>
      <c r="AK13">
        <v>26676462</v>
      </c>
      <c r="AL13">
        <v>39693310</v>
      </c>
      <c r="AM13">
        <v>37055030</v>
      </c>
      <c r="AN13">
        <v>56459419</v>
      </c>
      <c r="AO13">
        <v>41623706</v>
      </c>
      <c r="AP13">
        <v>37620787</v>
      </c>
      <c r="AQ13">
        <v>36069171</v>
      </c>
      <c r="AR13">
        <v>12887826</v>
      </c>
    </row>
    <row r="14" spans="1:51" x14ac:dyDescent="0.3">
      <c r="A14" s="22"/>
      <c r="B14" s="22"/>
      <c r="C14" t="s">
        <v>20</v>
      </c>
      <c r="G14" t="s">
        <v>20</v>
      </c>
      <c r="H14">
        <v>0</v>
      </c>
      <c r="I14">
        <v>0</v>
      </c>
      <c r="J14">
        <v>0</v>
      </c>
      <c r="K14">
        <v>0</v>
      </c>
      <c r="L14">
        <v>0</v>
      </c>
      <c r="M14">
        <v>0</v>
      </c>
      <c r="N14">
        <v>0</v>
      </c>
      <c r="O14">
        <v>0</v>
      </c>
      <c r="P14">
        <v>431079</v>
      </c>
      <c r="Q14">
        <v>422832</v>
      </c>
      <c r="R14">
        <v>440204</v>
      </c>
      <c r="S14">
        <v>433671</v>
      </c>
      <c r="T14">
        <v>477625</v>
      </c>
      <c r="U14">
        <v>490452</v>
      </c>
      <c r="V14">
        <v>605468</v>
      </c>
      <c r="W14">
        <v>647037</v>
      </c>
      <c r="X14">
        <v>690933</v>
      </c>
      <c r="Y14">
        <v>710134</v>
      </c>
      <c r="Z14">
        <v>871512</v>
      </c>
      <c r="AA14">
        <v>961477</v>
      </c>
      <c r="AB14">
        <v>969710</v>
      </c>
      <c r="AC14">
        <v>1280664</v>
      </c>
      <c r="AD14">
        <v>1312785</v>
      </c>
      <c r="AE14">
        <v>1412985</v>
      </c>
      <c r="AF14">
        <v>1557283</v>
      </c>
      <c r="AG14">
        <v>1557120</v>
      </c>
      <c r="AH14">
        <v>1524201</v>
      </c>
      <c r="AI14">
        <v>1701933</v>
      </c>
      <c r="AJ14">
        <v>925691</v>
      </c>
      <c r="AK14">
        <v>1182322</v>
      </c>
      <c r="AL14">
        <v>1082898</v>
      </c>
      <c r="AM14">
        <v>1131100</v>
      </c>
      <c r="AN14">
        <v>1119864</v>
      </c>
      <c r="AO14">
        <v>1075270</v>
      </c>
      <c r="AP14">
        <v>937944</v>
      </c>
      <c r="AQ14">
        <v>1011444</v>
      </c>
      <c r="AR14">
        <v>1153165</v>
      </c>
    </row>
    <row r="15" spans="1:51" x14ac:dyDescent="0.3">
      <c r="A15" s="22"/>
      <c r="B15" s="22"/>
      <c r="C15" t="s">
        <v>21</v>
      </c>
      <c r="G15" t="s">
        <v>21</v>
      </c>
      <c r="H15">
        <v>7061</v>
      </c>
      <c r="I15">
        <v>10979</v>
      </c>
      <c r="J15">
        <v>15031</v>
      </c>
      <c r="K15">
        <v>14084</v>
      </c>
      <c r="L15">
        <v>14322</v>
      </c>
      <c r="M15">
        <v>18144</v>
      </c>
      <c r="N15">
        <v>24117</v>
      </c>
      <c r="O15">
        <v>22967</v>
      </c>
      <c r="P15">
        <v>18643</v>
      </c>
      <c r="Q15">
        <v>26424</v>
      </c>
      <c r="R15">
        <v>34852</v>
      </c>
      <c r="S15">
        <v>43869</v>
      </c>
      <c r="T15">
        <v>43384</v>
      </c>
      <c r="U15">
        <v>54052</v>
      </c>
      <c r="V15">
        <v>70193</v>
      </c>
      <c r="W15">
        <v>69198</v>
      </c>
      <c r="X15">
        <v>54300</v>
      </c>
      <c r="Y15">
        <v>37633</v>
      </c>
      <c r="Z15">
        <v>72090</v>
      </c>
      <c r="AA15">
        <v>67128</v>
      </c>
      <c r="AB15">
        <v>70162</v>
      </c>
      <c r="AC15">
        <v>108611</v>
      </c>
      <c r="AD15">
        <v>141880</v>
      </c>
      <c r="AE15">
        <v>139929</v>
      </c>
      <c r="AF15">
        <v>144219</v>
      </c>
      <c r="AG15">
        <v>205827</v>
      </c>
      <c r="AH15">
        <v>264249</v>
      </c>
      <c r="AI15">
        <v>264419</v>
      </c>
      <c r="AJ15">
        <v>241448</v>
      </c>
      <c r="AK15">
        <v>301026</v>
      </c>
      <c r="AL15">
        <v>400546</v>
      </c>
      <c r="AM15">
        <v>424311</v>
      </c>
      <c r="AN15">
        <v>349198</v>
      </c>
      <c r="AO15">
        <v>437381</v>
      </c>
      <c r="AP15">
        <v>555409</v>
      </c>
      <c r="AQ15">
        <v>560665</v>
      </c>
      <c r="AR15">
        <v>542119</v>
      </c>
    </row>
    <row r="16" spans="1:51" x14ac:dyDescent="0.3">
      <c r="A16" s="22"/>
      <c r="B16" s="22"/>
      <c r="C16" t="s">
        <v>22</v>
      </c>
      <c r="G16" t="s">
        <v>22</v>
      </c>
      <c r="H16">
        <v>10084584</v>
      </c>
      <c r="I16">
        <v>10636624</v>
      </c>
      <c r="J16">
        <v>9704693</v>
      </c>
      <c r="K16">
        <v>10227805</v>
      </c>
      <c r="L16">
        <v>9776863</v>
      </c>
      <c r="M16">
        <v>9310276</v>
      </c>
      <c r="N16">
        <v>9212448</v>
      </c>
      <c r="O16">
        <v>8937202</v>
      </c>
      <c r="P16">
        <v>8411434</v>
      </c>
      <c r="Q16">
        <v>8861240</v>
      </c>
      <c r="R16">
        <v>9273634</v>
      </c>
      <c r="S16">
        <v>8795011</v>
      </c>
      <c r="T16">
        <v>7797055</v>
      </c>
      <c r="U16">
        <v>9379218</v>
      </c>
      <c r="V16">
        <v>14044376</v>
      </c>
      <c r="W16">
        <v>13891154</v>
      </c>
      <c r="X16">
        <v>12854775</v>
      </c>
      <c r="Y16">
        <v>13932401</v>
      </c>
      <c r="Z16">
        <v>19053482</v>
      </c>
      <c r="AA16">
        <v>27292139</v>
      </c>
      <c r="AB16">
        <v>22584196</v>
      </c>
      <c r="AC16">
        <v>35493502</v>
      </c>
      <c r="AD16">
        <v>34468597</v>
      </c>
      <c r="AE16">
        <v>28661261</v>
      </c>
      <c r="AF16">
        <v>25243607</v>
      </c>
      <c r="AG16">
        <v>32001986</v>
      </c>
      <c r="AH16">
        <v>28346134</v>
      </c>
      <c r="AI16">
        <v>28895213</v>
      </c>
      <c r="AJ16">
        <v>28979394</v>
      </c>
      <c r="AK16">
        <v>29537228</v>
      </c>
      <c r="AL16">
        <v>23540524</v>
      </c>
      <c r="AM16">
        <v>24824556</v>
      </c>
      <c r="AN16">
        <v>21732813</v>
      </c>
      <c r="AO16">
        <v>31069826</v>
      </c>
      <c r="AP16">
        <v>28599722</v>
      </c>
      <c r="AQ16">
        <v>28450521</v>
      </c>
      <c r="AR16">
        <v>27510083</v>
      </c>
    </row>
    <row r="17" spans="1:44" x14ac:dyDescent="0.3">
      <c r="A17" s="22"/>
      <c r="B17" s="22"/>
      <c r="C17" t="s">
        <v>23</v>
      </c>
      <c r="G17" t="s">
        <v>23</v>
      </c>
      <c r="H17">
        <v>1219304</v>
      </c>
      <c r="I17">
        <v>0</v>
      </c>
      <c r="J17">
        <v>341382</v>
      </c>
      <c r="K17">
        <v>0</v>
      </c>
      <c r="L17">
        <v>0</v>
      </c>
      <c r="M17">
        <v>0</v>
      </c>
      <c r="N17">
        <v>0</v>
      </c>
      <c r="O17">
        <v>0</v>
      </c>
      <c r="P17">
        <v>0</v>
      </c>
      <c r="Q17">
        <v>0</v>
      </c>
      <c r="R17">
        <v>0</v>
      </c>
      <c r="S17">
        <v>0</v>
      </c>
      <c r="T17">
        <v>0</v>
      </c>
      <c r="U17">
        <v>298937</v>
      </c>
      <c r="V17">
        <v>0</v>
      </c>
      <c r="W17">
        <v>172797</v>
      </c>
      <c r="X17">
        <v>9787</v>
      </c>
      <c r="Y17">
        <v>53494</v>
      </c>
      <c r="Z17">
        <v>-312</v>
      </c>
      <c r="AA17">
        <v>0</v>
      </c>
      <c r="AB17">
        <v>0</v>
      </c>
      <c r="AC17">
        <v>0</v>
      </c>
      <c r="AD17">
        <v>0</v>
      </c>
      <c r="AE17">
        <v>0</v>
      </c>
      <c r="AF17">
        <v>0</v>
      </c>
      <c r="AG17">
        <v>0</v>
      </c>
      <c r="AH17">
        <v>0</v>
      </c>
      <c r="AI17">
        <v>0</v>
      </c>
      <c r="AJ17">
        <v>40197</v>
      </c>
      <c r="AK17">
        <v>0</v>
      </c>
      <c r="AL17">
        <v>0</v>
      </c>
      <c r="AM17">
        <v>0</v>
      </c>
      <c r="AN17">
        <v>0</v>
      </c>
      <c r="AO17">
        <v>0</v>
      </c>
      <c r="AP17">
        <v>294539</v>
      </c>
      <c r="AQ17">
        <v>737173</v>
      </c>
      <c r="AR17">
        <v>0</v>
      </c>
    </row>
    <row r="18" spans="1:44" x14ac:dyDescent="0.3">
      <c r="A18" s="22"/>
      <c r="B18" s="22"/>
      <c r="C18" t="s">
        <v>24</v>
      </c>
      <c r="G18" t="s">
        <v>24</v>
      </c>
      <c r="H18">
        <v>14139186</v>
      </c>
      <c r="I18">
        <v>13543571</v>
      </c>
      <c r="J18">
        <v>16763834</v>
      </c>
      <c r="K18">
        <v>11612820</v>
      </c>
      <c r="L18">
        <v>12743468</v>
      </c>
      <c r="M18">
        <v>17354390</v>
      </c>
      <c r="N18">
        <v>15301245</v>
      </c>
      <c r="O18">
        <v>22286606</v>
      </c>
      <c r="P18">
        <v>23044585</v>
      </c>
      <c r="Q18">
        <v>24546488</v>
      </c>
      <c r="R18">
        <v>29679739</v>
      </c>
      <c r="S18">
        <v>30617772</v>
      </c>
      <c r="T18">
        <v>26435068</v>
      </c>
      <c r="U18">
        <v>27263997</v>
      </c>
      <c r="V18">
        <v>30484265</v>
      </c>
      <c r="W18">
        <v>27523886</v>
      </c>
      <c r="X18">
        <v>24578817</v>
      </c>
      <c r="Y18">
        <v>19132482</v>
      </c>
      <c r="Z18">
        <v>21871120</v>
      </c>
      <c r="AA18">
        <v>8254879</v>
      </c>
      <c r="AB18">
        <v>9870790</v>
      </c>
      <c r="AC18">
        <v>9635969</v>
      </c>
      <c r="AD18">
        <v>11299103</v>
      </c>
      <c r="AE18">
        <v>10690465</v>
      </c>
      <c r="AF18">
        <v>10544156</v>
      </c>
      <c r="AG18">
        <v>10372873</v>
      </c>
      <c r="AH18">
        <v>14223017</v>
      </c>
      <c r="AI18">
        <v>6941491</v>
      </c>
      <c r="AJ18">
        <v>10264795</v>
      </c>
      <c r="AK18">
        <v>11131738</v>
      </c>
      <c r="AL18">
        <v>16954083</v>
      </c>
      <c r="AM18">
        <v>15112369</v>
      </c>
      <c r="AN18">
        <v>11195021</v>
      </c>
      <c r="AO18">
        <v>8550956</v>
      </c>
      <c r="AP18">
        <v>15439742</v>
      </c>
      <c r="AQ18">
        <v>8125473</v>
      </c>
      <c r="AR18">
        <v>6867498</v>
      </c>
    </row>
    <row r="19" spans="1:44" x14ac:dyDescent="0.3">
      <c r="A19" s="22"/>
      <c r="B19" s="22"/>
      <c r="C19" t="s">
        <v>25</v>
      </c>
      <c r="G19" t="s">
        <v>25</v>
      </c>
      <c r="H19">
        <v>24779263</v>
      </c>
      <c r="I19">
        <v>16846719</v>
      </c>
      <c r="J19">
        <v>19851146</v>
      </c>
      <c r="K19">
        <v>15078450</v>
      </c>
      <c r="L19">
        <v>15727391</v>
      </c>
      <c r="M19">
        <v>14239785</v>
      </c>
      <c r="N19">
        <v>21952322</v>
      </c>
      <c r="O19">
        <v>9236517</v>
      </c>
      <c r="P19">
        <v>8661266</v>
      </c>
      <c r="Q19">
        <v>4791519</v>
      </c>
      <c r="R19">
        <v>5968474</v>
      </c>
      <c r="S19">
        <v>2689426</v>
      </c>
      <c r="T19">
        <v>2402287</v>
      </c>
      <c r="U19">
        <v>5458262</v>
      </c>
      <c r="V19">
        <v>962825</v>
      </c>
      <c r="W19">
        <v>323008</v>
      </c>
      <c r="X19">
        <v>8231</v>
      </c>
      <c r="Y19">
        <v>347882</v>
      </c>
      <c r="Z19">
        <v>-316619</v>
      </c>
      <c r="AA19">
        <v>0</v>
      </c>
      <c r="AB19">
        <v>0</v>
      </c>
      <c r="AC19">
        <v>0</v>
      </c>
      <c r="AD19">
        <v>0</v>
      </c>
      <c r="AE19">
        <v>0</v>
      </c>
      <c r="AF19">
        <v>0</v>
      </c>
      <c r="AG19">
        <v>0</v>
      </c>
      <c r="AH19">
        <v>0</v>
      </c>
      <c r="AI19">
        <v>0</v>
      </c>
      <c r="AJ19">
        <v>0</v>
      </c>
      <c r="AK19">
        <v>0</v>
      </c>
      <c r="AL19">
        <v>0</v>
      </c>
      <c r="AM19">
        <v>0</v>
      </c>
      <c r="AN19">
        <v>114453</v>
      </c>
      <c r="AO19">
        <v>77348</v>
      </c>
      <c r="AP19">
        <v>-13080</v>
      </c>
      <c r="AQ19">
        <v>0</v>
      </c>
      <c r="AR19">
        <v>143883</v>
      </c>
    </row>
    <row r="20" spans="1:44" x14ac:dyDescent="0.3">
      <c r="A20" s="22"/>
      <c r="B20" s="22"/>
      <c r="C20" t="s">
        <v>26</v>
      </c>
      <c r="G20" t="s">
        <v>26</v>
      </c>
      <c r="H20">
        <v>47943</v>
      </c>
      <c r="I20">
        <v>83528</v>
      </c>
      <c r="J20">
        <v>253634</v>
      </c>
      <c r="K20">
        <v>212523</v>
      </c>
      <c r="L20">
        <v>234489</v>
      </c>
      <c r="M20">
        <v>224760</v>
      </c>
      <c r="N20">
        <v>249108</v>
      </c>
      <c r="O20">
        <v>205208</v>
      </c>
      <c r="P20">
        <v>384239</v>
      </c>
      <c r="Q20">
        <v>347096</v>
      </c>
      <c r="R20">
        <v>321758</v>
      </c>
      <c r="S20">
        <v>242107</v>
      </c>
      <c r="T20">
        <v>263257</v>
      </c>
      <c r="U20">
        <v>282893</v>
      </c>
      <c r="V20">
        <v>307647</v>
      </c>
      <c r="W20">
        <v>208352</v>
      </c>
      <c r="X20">
        <v>178449</v>
      </c>
      <c r="Y20">
        <v>91495</v>
      </c>
      <c r="Z20">
        <v>47367</v>
      </c>
      <c r="AA20">
        <v>53690</v>
      </c>
      <c r="AB20">
        <v>143044</v>
      </c>
      <c r="AC20">
        <v>136044</v>
      </c>
      <c r="AD20">
        <v>38772</v>
      </c>
      <c r="AE20">
        <v>9307</v>
      </c>
      <c r="AF20">
        <v>2157</v>
      </c>
      <c r="AG20">
        <v>77470</v>
      </c>
      <c r="AH20">
        <v>74447</v>
      </c>
      <c r="AI20">
        <v>84442</v>
      </c>
      <c r="AJ20">
        <v>2965</v>
      </c>
      <c r="AK20">
        <v>4256</v>
      </c>
      <c r="AL20">
        <v>4646</v>
      </c>
      <c r="AM20">
        <v>2613</v>
      </c>
      <c r="AN20">
        <v>2935</v>
      </c>
      <c r="AO20">
        <v>2317</v>
      </c>
      <c r="AP20">
        <v>3113</v>
      </c>
      <c r="AQ20">
        <v>3129</v>
      </c>
      <c r="AR20">
        <v>3413</v>
      </c>
    </row>
    <row r="21" spans="1:44" x14ac:dyDescent="0.3">
      <c r="A21" s="22"/>
      <c r="B21" s="22"/>
      <c r="C21" t="s">
        <v>27</v>
      </c>
      <c r="G21" t="s">
        <v>27</v>
      </c>
      <c r="H21">
        <v>0</v>
      </c>
      <c r="I21">
        <v>0</v>
      </c>
      <c r="J21">
        <v>0</v>
      </c>
      <c r="K21">
        <v>0</v>
      </c>
      <c r="L21">
        <v>0</v>
      </c>
      <c r="M21">
        <v>0</v>
      </c>
      <c r="N21">
        <v>0</v>
      </c>
      <c r="O21">
        <v>0</v>
      </c>
      <c r="P21">
        <v>0</v>
      </c>
      <c r="Q21">
        <v>0</v>
      </c>
      <c r="R21">
        <v>0</v>
      </c>
      <c r="S21">
        <v>76765</v>
      </c>
      <c r="T21">
        <v>27631</v>
      </c>
      <c r="U21">
        <v>0</v>
      </c>
      <c r="V21">
        <v>0</v>
      </c>
      <c r="W21">
        <v>0</v>
      </c>
      <c r="X21">
        <v>0</v>
      </c>
      <c r="Y21">
        <v>0</v>
      </c>
      <c r="Z21">
        <v>0</v>
      </c>
      <c r="AA21">
        <v>0</v>
      </c>
      <c r="AB21">
        <v>0</v>
      </c>
      <c r="AC21">
        <v>0</v>
      </c>
      <c r="AD21">
        <v>0</v>
      </c>
      <c r="AE21">
        <v>0</v>
      </c>
      <c r="AF21">
        <v>0</v>
      </c>
      <c r="AG21">
        <v>0</v>
      </c>
      <c r="AH21">
        <v>0</v>
      </c>
      <c r="AI21">
        <v>0</v>
      </c>
      <c r="AJ21">
        <v>4959</v>
      </c>
      <c r="AK21">
        <v>5731</v>
      </c>
      <c r="AL21">
        <v>5823</v>
      </c>
      <c r="AM21">
        <v>5582</v>
      </c>
      <c r="AN21">
        <v>0</v>
      </c>
      <c r="AO21">
        <v>5639</v>
      </c>
      <c r="AP21">
        <v>0</v>
      </c>
      <c r="AQ21">
        <v>0</v>
      </c>
      <c r="AR21">
        <v>0</v>
      </c>
    </row>
    <row r="22" spans="1:44" x14ac:dyDescent="0.3">
      <c r="A22" s="22"/>
      <c r="B22" s="22"/>
      <c r="C22" t="s">
        <v>28</v>
      </c>
      <c r="G22" t="s">
        <v>28</v>
      </c>
      <c r="H22">
        <v>18821</v>
      </c>
      <c r="I22">
        <v>18876</v>
      </c>
      <c r="J22">
        <v>7995</v>
      </c>
      <c r="K22">
        <v>19358</v>
      </c>
      <c r="L22">
        <v>20826</v>
      </c>
      <c r="M22">
        <v>43505</v>
      </c>
      <c r="N22">
        <v>24333</v>
      </c>
      <c r="O22">
        <v>39627</v>
      </c>
      <c r="P22">
        <v>138064</v>
      </c>
      <c r="Q22">
        <v>152677</v>
      </c>
      <c r="R22">
        <v>162962</v>
      </c>
      <c r="S22">
        <v>256861</v>
      </c>
      <c r="T22">
        <v>338321</v>
      </c>
      <c r="U22">
        <v>130210</v>
      </c>
      <c r="V22">
        <v>257693</v>
      </c>
      <c r="W22">
        <v>485144</v>
      </c>
      <c r="X22">
        <v>458192</v>
      </c>
      <c r="Y22">
        <v>68331</v>
      </c>
      <c r="Z22">
        <v>81833</v>
      </c>
      <c r="AA22">
        <v>141995</v>
      </c>
      <c r="AB22">
        <v>216390</v>
      </c>
      <c r="AC22">
        <v>486516</v>
      </c>
      <c r="AD22">
        <v>412444</v>
      </c>
      <c r="AE22">
        <v>631224</v>
      </c>
      <c r="AF22">
        <v>685928</v>
      </c>
      <c r="AG22">
        <v>785436</v>
      </c>
      <c r="AH22">
        <v>402130</v>
      </c>
      <c r="AI22">
        <v>691712</v>
      </c>
      <c r="AJ22">
        <v>730659</v>
      </c>
      <c r="AK22">
        <v>623412</v>
      </c>
      <c r="AL22">
        <v>562486</v>
      </c>
      <c r="AM22">
        <v>618440</v>
      </c>
      <c r="AN22">
        <v>842697</v>
      </c>
      <c r="AO22">
        <v>538861</v>
      </c>
      <c r="AP22">
        <v>366523</v>
      </c>
      <c r="AQ22">
        <v>874313</v>
      </c>
      <c r="AR22">
        <v>820684</v>
      </c>
    </row>
    <row r="23" spans="1:44" x14ac:dyDescent="0.3">
      <c r="A23" s="22"/>
      <c r="B23" s="22"/>
      <c r="C23" t="s">
        <v>29</v>
      </c>
      <c r="G23" t="s">
        <v>29</v>
      </c>
      <c r="H23">
        <v>0</v>
      </c>
      <c r="I23">
        <v>0</v>
      </c>
      <c r="J23">
        <v>0</v>
      </c>
      <c r="K23">
        <v>0</v>
      </c>
      <c r="L23">
        <v>0</v>
      </c>
      <c r="M23">
        <v>0</v>
      </c>
      <c r="N23">
        <v>0</v>
      </c>
      <c r="O23">
        <v>0</v>
      </c>
      <c r="P23">
        <v>0</v>
      </c>
      <c r="Q23">
        <v>0</v>
      </c>
      <c r="R23">
        <v>0</v>
      </c>
      <c r="S23">
        <v>29854</v>
      </c>
      <c r="T23">
        <v>156789</v>
      </c>
      <c r="U23">
        <v>234947</v>
      </c>
      <c r="V23">
        <v>229264</v>
      </c>
      <c r="W23">
        <v>223209</v>
      </c>
      <c r="X23">
        <v>217376</v>
      </c>
      <c r="Y23">
        <v>168376</v>
      </c>
      <c r="Z23">
        <v>147499</v>
      </c>
      <c r="AA23">
        <v>191566</v>
      </c>
      <c r="AB23">
        <v>203000</v>
      </c>
      <c r="AC23">
        <v>205095</v>
      </c>
      <c r="AD23">
        <v>121787</v>
      </c>
      <c r="AE23">
        <v>167601</v>
      </c>
      <c r="AF23">
        <v>158979</v>
      </c>
      <c r="AG23">
        <v>132720</v>
      </c>
      <c r="AH23">
        <v>205031</v>
      </c>
      <c r="AI23">
        <v>173512</v>
      </c>
      <c r="AJ23">
        <v>220452</v>
      </c>
      <c r="AK23">
        <v>290704</v>
      </c>
      <c r="AL23">
        <v>89834</v>
      </c>
      <c r="AM23">
        <v>140260</v>
      </c>
      <c r="AN23">
        <v>0</v>
      </c>
      <c r="AO23">
        <v>0</v>
      </c>
      <c r="AP23">
        <v>0</v>
      </c>
      <c r="AQ23">
        <v>0</v>
      </c>
      <c r="AR23">
        <v>0</v>
      </c>
    </row>
    <row r="24" spans="1:44" x14ac:dyDescent="0.3">
      <c r="A24" s="99"/>
      <c r="B24" s="22" t="s">
        <v>30</v>
      </c>
      <c r="C24" s="22"/>
      <c r="G24" t="s">
        <v>31</v>
      </c>
      <c r="H24">
        <v>303146.87179607654</v>
      </c>
      <c r="I24">
        <v>303146.87179607654</v>
      </c>
      <c r="J24">
        <v>303146.87179607654</v>
      </c>
      <c r="K24">
        <v>303146.87179607654</v>
      </c>
      <c r="L24">
        <v>370506.58883082954</v>
      </c>
      <c r="M24">
        <v>370506.58883082954</v>
      </c>
      <c r="N24">
        <v>370506.58883082954</v>
      </c>
      <c r="O24">
        <v>370506.58883082954</v>
      </c>
      <c r="P24">
        <v>500680.88259307639</v>
      </c>
      <c r="Q24">
        <v>500680.88259307639</v>
      </c>
      <c r="R24">
        <v>500680.88259307639</v>
      </c>
      <c r="S24">
        <v>500680.88259307639</v>
      </c>
      <c r="T24">
        <v>638196.00342913123</v>
      </c>
      <c r="U24">
        <v>638196.00342913123</v>
      </c>
      <c r="V24">
        <v>638196.00342913123</v>
      </c>
      <c r="W24">
        <v>638196.00342913123</v>
      </c>
      <c r="X24">
        <v>757108.28298497712</v>
      </c>
      <c r="Y24">
        <v>757108.28298497712</v>
      </c>
      <c r="Z24">
        <v>757108.28298497712</v>
      </c>
      <c r="AA24">
        <v>757108.28298497712</v>
      </c>
      <c r="AB24">
        <v>957266.83540169825</v>
      </c>
      <c r="AC24">
        <v>957266.83540169825</v>
      </c>
      <c r="AD24">
        <v>1153045.1257348137</v>
      </c>
      <c r="AE24">
        <v>1153045.1257348137</v>
      </c>
      <c r="AF24">
        <v>1489651.8713259308</v>
      </c>
      <c r="AG24">
        <v>1489651.8713259308</v>
      </c>
      <c r="AH24">
        <v>1524823.3834095362</v>
      </c>
      <c r="AI24">
        <v>1524823.3834095362</v>
      </c>
      <c r="AJ24">
        <v>1710463</v>
      </c>
      <c r="AK24">
        <v>1710463</v>
      </c>
      <c r="AL24">
        <v>2152660</v>
      </c>
      <c r="AM24">
        <v>2152660</v>
      </c>
      <c r="AN24">
        <v>2184215</v>
      </c>
      <c r="AO24">
        <v>2184215</v>
      </c>
      <c r="AP24">
        <v>2498030</v>
      </c>
      <c r="AQ24">
        <v>2498030</v>
      </c>
      <c r="AR24">
        <v>0</v>
      </c>
    </row>
    <row r="25" spans="1:44" x14ac:dyDescent="0.3">
      <c r="A25" s="22" t="s">
        <v>32</v>
      </c>
      <c r="B25" s="22" t="s">
        <v>8</v>
      </c>
      <c r="C25" t="s">
        <v>9</v>
      </c>
      <c r="F25" t="s">
        <v>30</v>
      </c>
      <c r="H25">
        <v>62041852.871796079</v>
      </c>
      <c r="I25">
        <v>52644542.871796079</v>
      </c>
      <c r="J25">
        <v>60597473.871796079</v>
      </c>
      <c r="K25">
        <v>49277295.871796079</v>
      </c>
      <c r="L25">
        <v>48331385.588830829</v>
      </c>
      <c r="M25">
        <v>55482301.588830829</v>
      </c>
      <c r="N25">
        <v>62068504.588830829</v>
      </c>
      <c r="O25">
        <v>55967497.588830829</v>
      </c>
      <c r="P25">
        <v>52961340.882593073</v>
      </c>
      <c r="Q25">
        <v>53505706.882593073</v>
      </c>
      <c r="R25">
        <v>62023191.882593073</v>
      </c>
      <c r="S25">
        <v>57948004.882593073</v>
      </c>
      <c r="T25">
        <v>50471723.00342913</v>
      </c>
      <c r="U25">
        <v>61619550.00342913</v>
      </c>
      <c r="V25">
        <v>76304389.00342913</v>
      </c>
      <c r="W25">
        <v>64337236.00342913</v>
      </c>
      <c r="X25">
        <v>63127914.282984979</v>
      </c>
      <c r="Y25">
        <v>58630703.282984979</v>
      </c>
      <c r="Z25">
        <v>62065453.282984979</v>
      </c>
      <c r="AA25">
        <v>61325436.282984979</v>
      </c>
      <c r="AB25">
        <v>58049300.835401699</v>
      </c>
      <c r="AC25">
        <v>69075791.835401699</v>
      </c>
      <c r="AD25">
        <v>74472118.125734821</v>
      </c>
      <c r="AE25">
        <v>63570608.125734814</v>
      </c>
      <c r="AF25">
        <v>72785053.871325925</v>
      </c>
      <c r="AG25">
        <v>76586161.871325925</v>
      </c>
      <c r="AH25">
        <v>73207055.38340953</v>
      </c>
      <c r="AI25">
        <v>83811518.38340953</v>
      </c>
      <c r="AJ25">
        <v>86058623</v>
      </c>
      <c r="AK25">
        <v>91722671</v>
      </c>
      <c r="AL25">
        <v>106508754</v>
      </c>
      <c r="AM25">
        <v>103791266</v>
      </c>
      <c r="AN25">
        <v>111147477</v>
      </c>
      <c r="AO25">
        <v>105801065</v>
      </c>
      <c r="AP25">
        <v>109436536</v>
      </c>
      <c r="AQ25">
        <v>101204296</v>
      </c>
      <c r="AR25">
        <v>64582104</v>
      </c>
    </row>
    <row r="26" spans="1:44" x14ac:dyDescent="0.3">
      <c r="A26" s="22"/>
      <c r="B26" s="22"/>
      <c r="C26" t="s">
        <v>10</v>
      </c>
      <c r="E26" t="s">
        <v>32</v>
      </c>
      <c r="F26" t="s">
        <v>8</v>
      </c>
      <c r="G26" t="s">
        <v>9</v>
      </c>
      <c r="H26">
        <v>230</v>
      </c>
      <c r="I26">
        <v>998</v>
      </c>
      <c r="J26">
        <v>102</v>
      </c>
      <c r="K26">
        <v>495</v>
      </c>
      <c r="L26">
        <v>322</v>
      </c>
      <c r="M26">
        <v>690</v>
      </c>
      <c r="N26">
        <v>489</v>
      </c>
      <c r="O26">
        <v>418</v>
      </c>
      <c r="P26">
        <v>625</v>
      </c>
      <c r="Q26">
        <v>1068</v>
      </c>
      <c r="R26">
        <v>626</v>
      </c>
      <c r="S26">
        <v>1089</v>
      </c>
      <c r="T26">
        <v>2324</v>
      </c>
      <c r="U26">
        <v>1374</v>
      </c>
      <c r="V26">
        <v>1316</v>
      </c>
      <c r="W26">
        <v>201</v>
      </c>
      <c r="X26">
        <v>411</v>
      </c>
      <c r="Y26">
        <v>179</v>
      </c>
      <c r="Z26">
        <v>1553</v>
      </c>
      <c r="AA26">
        <v>2354</v>
      </c>
      <c r="AB26">
        <v>262</v>
      </c>
      <c r="AC26">
        <v>313</v>
      </c>
      <c r="AD26">
        <v>109</v>
      </c>
      <c r="AE26">
        <v>25</v>
      </c>
      <c r="AF26">
        <v>67</v>
      </c>
      <c r="AG26">
        <v>84</v>
      </c>
      <c r="AH26">
        <v>99</v>
      </c>
      <c r="AI26">
        <v>2</v>
      </c>
      <c r="AJ26">
        <v>647</v>
      </c>
      <c r="AK26">
        <v>1</v>
      </c>
      <c r="AL26">
        <v>256</v>
      </c>
      <c r="AM26">
        <v>229</v>
      </c>
      <c r="AN26">
        <v>1055</v>
      </c>
      <c r="AO26">
        <v>2047</v>
      </c>
      <c r="AP26">
        <v>461</v>
      </c>
      <c r="AQ26">
        <v>1</v>
      </c>
      <c r="AR26">
        <v>1427</v>
      </c>
    </row>
    <row r="27" spans="1:44" x14ac:dyDescent="0.3">
      <c r="A27" s="22"/>
      <c r="B27" s="22"/>
      <c r="C27" t="s">
        <v>11</v>
      </c>
      <c r="G27" t="s">
        <v>10</v>
      </c>
      <c r="H27">
        <v>0</v>
      </c>
      <c r="I27">
        <v>0</v>
      </c>
      <c r="J27">
        <v>0</v>
      </c>
      <c r="K27">
        <v>0</v>
      </c>
      <c r="L27">
        <v>0</v>
      </c>
      <c r="M27">
        <v>0</v>
      </c>
      <c r="N27">
        <v>0</v>
      </c>
      <c r="O27">
        <v>0</v>
      </c>
      <c r="P27">
        <v>0</v>
      </c>
      <c r="Q27">
        <v>12</v>
      </c>
      <c r="R27">
        <v>0</v>
      </c>
      <c r="S27">
        <v>0</v>
      </c>
      <c r="T27">
        <v>0</v>
      </c>
      <c r="U27">
        <v>0</v>
      </c>
      <c r="V27">
        <v>0</v>
      </c>
      <c r="W27">
        <v>0</v>
      </c>
      <c r="X27">
        <v>21</v>
      </c>
      <c r="Y27">
        <v>0</v>
      </c>
      <c r="Z27">
        <v>0</v>
      </c>
      <c r="AA27">
        <v>5</v>
      </c>
      <c r="AB27">
        <v>0</v>
      </c>
      <c r="AC27">
        <v>0</v>
      </c>
      <c r="AD27">
        <v>0</v>
      </c>
      <c r="AE27">
        <v>0</v>
      </c>
      <c r="AF27">
        <v>0</v>
      </c>
      <c r="AG27">
        <v>0</v>
      </c>
      <c r="AH27">
        <v>1</v>
      </c>
      <c r="AI27">
        <v>11</v>
      </c>
      <c r="AJ27">
        <v>0</v>
      </c>
      <c r="AK27">
        <v>0</v>
      </c>
      <c r="AL27">
        <v>0</v>
      </c>
      <c r="AM27">
        <v>0</v>
      </c>
      <c r="AN27">
        <v>0</v>
      </c>
      <c r="AO27">
        <v>0</v>
      </c>
      <c r="AP27">
        <v>0</v>
      </c>
      <c r="AQ27">
        <v>0</v>
      </c>
      <c r="AR27">
        <v>0</v>
      </c>
    </row>
    <row r="28" spans="1:44" x14ac:dyDescent="0.3">
      <c r="A28" s="22"/>
      <c r="B28" s="22"/>
      <c r="C28" t="s">
        <v>12</v>
      </c>
      <c r="G28" t="s">
        <v>11</v>
      </c>
      <c r="H28">
        <v>129</v>
      </c>
      <c r="I28">
        <v>185</v>
      </c>
      <c r="J28">
        <v>213</v>
      </c>
      <c r="K28">
        <v>100</v>
      </c>
      <c r="L28">
        <v>158</v>
      </c>
      <c r="M28">
        <v>311</v>
      </c>
      <c r="N28">
        <v>306</v>
      </c>
      <c r="O28">
        <v>214</v>
      </c>
      <c r="P28">
        <v>562</v>
      </c>
      <c r="Q28">
        <v>870</v>
      </c>
      <c r="R28">
        <v>1053</v>
      </c>
      <c r="S28">
        <v>1046</v>
      </c>
      <c r="T28">
        <v>18</v>
      </c>
      <c r="U28">
        <v>219</v>
      </c>
      <c r="V28">
        <v>132</v>
      </c>
      <c r="W28">
        <v>106</v>
      </c>
      <c r="X28">
        <v>610</v>
      </c>
      <c r="Y28">
        <v>498</v>
      </c>
      <c r="Z28">
        <v>740</v>
      </c>
      <c r="AA28">
        <v>607</v>
      </c>
      <c r="AB28">
        <v>1658</v>
      </c>
      <c r="AC28">
        <v>1653</v>
      </c>
      <c r="AD28">
        <v>1719</v>
      </c>
      <c r="AE28">
        <v>1485</v>
      </c>
      <c r="AF28">
        <v>2302</v>
      </c>
      <c r="AG28">
        <v>1967</v>
      </c>
      <c r="AH28">
        <v>3627</v>
      </c>
      <c r="AI28">
        <v>3427</v>
      </c>
      <c r="AJ28">
        <v>5844</v>
      </c>
      <c r="AK28">
        <v>6137</v>
      </c>
      <c r="AL28">
        <v>7844</v>
      </c>
      <c r="AM28">
        <v>7479</v>
      </c>
      <c r="AN28">
        <v>8775</v>
      </c>
      <c r="AO28">
        <v>11663</v>
      </c>
      <c r="AP28">
        <v>14363</v>
      </c>
      <c r="AQ28">
        <v>11219</v>
      </c>
      <c r="AR28">
        <v>11786</v>
      </c>
    </row>
    <row r="29" spans="1:44" x14ac:dyDescent="0.3">
      <c r="A29" s="22"/>
      <c r="B29" s="22"/>
      <c r="C29" t="s">
        <v>13</v>
      </c>
      <c r="G29" t="s">
        <v>12</v>
      </c>
      <c r="H29">
        <v>0</v>
      </c>
      <c r="I29">
        <v>703</v>
      </c>
      <c r="J29">
        <v>123</v>
      </c>
      <c r="K29">
        <v>122</v>
      </c>
      <c r="L29">
        <v>194</v>
      </c>
      <c r="M29">
        <v>841</v>
      </c>
      <c r="N29">
        <v>677</v>
      </c>
      <c r="O29">
        <v>331</v>
      </c>
      <c r="P29">
        <v>128</v>
      </c>
      <c r="Q29">
        <v>1205</v>
      </c>
      <c r="R29">
        <v>401</v>
      </c>
      <c r="S29">
        <v>1794</v>
      </c>
      <c r="T29">
        <v>1564</v>
      </c>
      <c r="U29">
        <v>2099</v>
      </c>
      <c r="V29">
        <v>2409</v>
      </c>
      <c r="W29">
        <v>2</v>
      </c>
      <c r="X29">
        <v>2173</v>
      </c>
      <c r="Y29">
        <v>4738</v>
      </c>
      <c r="Z29">
        <v>1354</v>
      </c>
      <c r="AA29">
        <v>362</v>
      </c>
      <c r="AB29">
        <v>0</v>
      </c>
      <c r="AC29">
        <v>6892</v>
      </c>
      <c r="AD29">
        <v>341</v>
      </c>
      <c r="AE29">
        <v>1747</v>
      </c>
      <c r="AF29">
        <v>2047</v>
      </c>
      <c r="AG29">
        <v>4690</v>
      </c>
      <c r="AH29">
        <v>814</v>
      </c>
      <c r="AI29">
        <v>0</v>
      </c>
      <c r="AJ29">
        <v>983</v>
      </c>
      <c r="AK29">
        <v>8803</v>
      </c>
      <c r="AL29">
        <v>25</v>
      </c>
      <c r="AM29">
        <v>0</v>
      </c>
      <c r="AN29">
        <v>511</v>
      </c>
      <c r="AO29">
        <v>1619</v>
      </c>
      <c r="AP29">
        <v>2948</v>
      </c>
      <c r="AQ29">
        <v>10</v>
      </c>
      <c r="AR29">
        <v>614</v>
      </c>
    </row>
    <row r="30" spans="1:44" x14ac:dyDescent="0.3">
      <c r="A30" s="22"/>
      <c r="B30" s="22" t="s">
        <v>14</v>
      </c>
      <c r="C30" s="22"/>
      <c r="G30" t="s">
        <v>13</v>
      </c>
      <c r="H30">
        <v>351</v>
      </c>
      <c r="I30">
        <v>388</v>
      </c>
      <c r="J30">
        <v>415</v>
      </c>
      <c r="K30">
        <v>39</v>
      </c>
      <c r="L30">
        <v>86</v>
      </c>
      <c r="M30">
        <v>113</v>
      </c>
      <c r="N30">
        <v>80</v>
      </c>
      <c r="O30">
        <v>75</v>
      </c>
      <c r="P30">
        <v>133</v>
      </c>
      <c r="Q30">
        <v>84</v>
      </c>
      <c r="R30">
        <v>87</v>
      </c>
      <c r="S30">
        <v>201</v>
      </c>
      <c r="T30">
        <v>0</v>
      </c>
      <c r="U30">
        <v>0</v>
      </c>
      <c r="V30">
        <v>0</v>
      </c>
      <c r="W30">
        <v>0</v>
      </c>
      <c r="X30">
        <v>1500</v>
      </c>
      <c r="Y30">
        <v>1314</v>
      </c>
      <c r="Z30">
        <v>1891</v>
      </c>
      <c r="AA30">
        <v>1509</v>
      </c>
      <c r="AB30">
        <v>4789</v>
      </c>
      <c r="AC30">
        <v>5769</v>
      </c>
      <c r="AD30">
        <v>6232</v>
      </c>
      <c r="AE30">
        <v>5484</v>
      </c>
      <c r="AF30">
        <v>10570</v>
      </c>
      <c r="AG30">
        <v>11134</v>
      </c>
      <c r="AH30">
        <v>12915</v>
      </c>
      <c r="AI30">
        <v>11731</v>
      </c>
      <c r="AJ30">
        <v>15643</v>
      </c>
      <c r="AK30">
        <v>15869</v>
      </c>
      <c r="AL30">
        <v>11429</v>
      </c>
      <c r="AM30">
        <v>11854</v>
      </c>
      <c r="AN30">
        <v>13619</v>
      </c>
      <c r="AO30">
        <v>17233</v>
      </c>
      <c r="AP30">
        <v>17711</v>
      </c>
      <c r="AQ30">
        <v>16941</v>
      </c>
      <c r="AR30">
        <v>13873</v>
      </c>
    </row>
    <row r="31" spans="1:44" x14ac:dyDescent="0.3">
      <c r="A31" s="22"/>
      <c r="B31" s="22" t="s">
        <v>15</v>
      </c>
      <c r="C31" t="s">
        <v>16</v>
      </c>
      <c r="F31" t="s">
        <v>14</v>
      </c>
      <c r="H31">
        <v>710</v>
      </c>
      <c r="I31">
        <v>2274</v>
      </c>
      <c r="J31">
        <v>853</v>
      </c>
      <c r="K31">
        <v>756</v>
      </c>
      <c r="L31">
        <v>760</v>
      </c>
      <c r="M31">
        <v>1955</v>
      </c>
      <c r="N31">
        <v>1552</v>
      </c>
      <c r="O31">
        <v>1038</v>
      </c>
      <c r="P31">
        <v>1448</v>
      </c>
      <c r="Q31">
        <v>3239</v>
      </c>
      <c r="R31">
        <v>2167</v>
      </c>
      <c r="S31">
        <v>4130</v>
      </c>
      <c r="T31">
        <v>3906</v>
      </c>
      <c r="U31">
        <v>3692</v>
      </c>
      <c r="V31">
        <v>3857</v>
      </c>
      <c r="W31">
        <v>309</v>
      </c>
      <c r="X31">
        <v>4715</v>
      </c>
      <c r="Y31">
        <v>6729</v>
      </c>
      <c r="Z31">
        <v>5538</v>
      </c>
      <c r="AA31">
        <v>4837</v>
      </c>
      <c r="AB31">
        <v>6709</v>
      </c>
      <c r="AC31">
        <v>14627</v>
      </c>
      <c r="AD31">
        <v>8401</v>
      </c>
      <c r="AE31">
        <v>8741</v>
      </c>
      <c r="AF31">
        <v>14986</v>
      </c>
      <c r="AG31">
        <v>17875</v>
      </c>
      <c r="AH31">
        <v>17456</v>
      </c>
      <c r="AI31">
        <v>15171</v>
      </c>
      <c r="AJ31">
        <v>23117</v>
      </c>
      <c r="AK31">
        <v>30810</v>
      </c>
      <c r="AL31">
        <v>19554</v>
      </c>
      <c r="AM31">
        <v>19562</v>
      </c>
      <c r="AN31">
        <v>23960</v>
      </c>
      <c r="AO31">
        <v>32562</v>
      </c>
      <c r="AP31">
        <v>35483</v>
      </c>
      <c r="AQ31">
        <v>28171</v>
      </c>
      <c r="AR31">
        <v>27700</v>
      </c>
    </row>
    <row r="32" spans="1:44" x14ac:dyDescent="0.3">
      <c r="A32" s="22"/>
      <c r="B32" s="22"/>
      <c r="C32" t="s">
        <v>17</v>
      </c>
      <c r="F32" t="s">
        <v>15</v>
      </c>
      <c r="G32" t="s">
        <v>16</v>
      </c>
      <c r="H32">
        <v>0</v>
      </c>
      <c r="I32">
        <v>0</v>
      </c>
      <c r="J32">
        <v>1655</v>
      </c>
      <c r="K32">
        <v>2486</v>
      </c>
      <c r="L32">
        <v>1673</v>
      </c>
      <c r="M32">
        <v>2277</v>
      </c>
      <c r="N32">
        <v>2237</v>
      </c>
      <c r="O32">
        <v>2478</v>
      </c>
      <c r="P32">
        <v>876</v>
      </c>
      <c r="Q32">
        <v>1337</v>
      </c>
      <c r="R32">
        <v>1512</v>
      </c>
      <c r="S32">
        <v>1801</v>
      </c>
      <c r="T32">
        <v>1629</v>
      </c>
      <c r="U32">
        <v>1786</v>
      </c>
      <c r="V32">
        <v>1863</v>
      </c>
      <c r="W32">
        <v>2371</v>
      </c>
      <c r="X32">
        <v>2256</v>
      </c>
      <c r="Y32">
        <v>2410</v>
      </c>
      <c r="Z32">
        <v>3097</v>
      </c>
      <c r="AA32">
        <v>3312</v>
      </c>
      <c r="AB32">
        <v>3471</v>
      </c>
      <c r="AC32">
        <v>4521</v>
      </c>
      <c r="AD32">
        <v>9662</v>
      </c>
      <c r="AE32">
        <v>11595</v>
      </c>
      <c r="AF32">
        <v>11716</v>
      </c>
      <c r="AG32">
        <v>8342</v>
      </c>
      <c r="AH32">
        <v>4093</v>
      </c>
      <c r="AI32">
        <v>9021</v>
      </c>
      <c r="AJ32">
        <v>21991</v>
      </c>
      <c r="AK32">
        <v>36271</v>
      </c>
      <c r="AL32">
        <v>41778</v>
      </c>
      <c r="AM32">
        <v>41393</v>
      </c>
      <c r="AN32">
        <v>11703</v>
      </c>
      <c r="AO32">
        <v>9654</v>
      </c>
      <c r="AP32">
        <v>7869</v>
      </c>
      <c r="AQ32">
        <v>9553</v>
      </c>
      <c r="AR32">
        <v>9132</v>
      </c>
    </row>
    <row r="33" spans="1:44" x14ac:dyDescent="0.3">
      <c r="A33" s="22"/>
      <c r="B33" s="22"/>
      <c r="C33" t="s">
        <v>18</v>
      </c>
      <c r="G33" t="s">
        <v>17</v>
      </c>
      <c r="H33">
        <v>474</v>
      </c>
      <c r="I33">
        <v>315</v>
      </c>
      <c r="J33">
        <v>379</v>
      </c>
      <c r="K33">
        <v>357</v>
      </c>
      <c r="L33">
        <v>383</v>
      </c>
      <c r="M33">
        <v>442</v>
      </c>
      <c r="N33">
        <v>397</v>
      </c>
      <c r="O33">
        <v>129</v>
      </c>
      <c r="P33">
        <v>327</v>
      </c>
      <c r="Q33">
        <v>433</v>
      </c>
      <c r="R33">
        <v>409</v>
      </c>
      <c r="S33">
        <v>314</v>
      </c>
      <c r="T33">
        <v>276</v>
      </c>
      <c r="U33">
        <v>311</v>
      </c>
      <c r="V33">
        <v>226</v>
      </c>
      <c r="W33">
        <v>280</v>
      </c>
      <c r="X33">
        <v>219</v>
      </c>
      <c r="Y33">
        <v>241</v>
      </c>
      <c r="Z33">
        <v>360</v>
      </c>
      <c r="AA33">
        <v>312</v>
      </c>
      <c r="AB33">
        <v>0</v>
      </c>
      <c r="AC33">
        <v>0</v>
      </c>
      <c r="AD33">
        <v>0</v>
      </c>
      <c r="AE33">
        <v>0</v>
      </c>
      <c r="AF33">
        <v>0</v>
      </c>
      <c r="AG33">
        <v>0</v>
      </c>
      <c r="AH33">
        <v>0</v>
      </c>
      <c r="AI33">
        <v>0</v>
      </c>
      <c r="AJ33">
        <v>0</v>
      </c>
      <c r="AK33">
        <v>0</v>
      </c>
      <c r="AL33">
        <v>0</v>
      </c>
      <c r="AM33">
        <v>0</v>
      </c>
      <c r="AN33">
        <v>0</v>
      </c>
      <c r="AO33">
        <v>0</v>
      </c>
      <c r="AP33">
        <v>0</v>
      </c>
      <c r="AQ33">
        <v>0</v>
      </c>
      <c r="AR33">
        <v>0</v>
      </c>
    </row>
    <row r="34" spans="1:44" x14ac:dyDescent="0.3">
      <c r="A34" s="22"/>
      <c r="B34" s="22"/>
      <c r="C34" t="s">
        <v>19</v>
      </c>
      <c r="G34" t="s">
        <v>18</v>
      </c>
      <c r="H34">
        <v>58529</v>
      </c>
      <c r="I34">
        <v>65175</v>
      </c>
      <c r="J34">
        <v>76526</v>
      </c>
      <c r="K34">
        <v>69420</v>
      </c>
      <c r="L34">
        <v>57466</v>
      </c>
      <c r="M34">
        <v>83384</v>
      </c>
      <c r="N34">
        <v>92219</v>
      </c>
      <c r="O34">
        <v>88392</v>
      </c>
      <c r="P34">
        <v>73382</v>
      </c>
      <c r="Q34">
        <v>88804</v>
      </c>
      <c r="R34">
        <v>101480</v>
      </c>
      <c r="S34">
        <v>91173</v>
      </c>
      <c r="T34">
        <v>83643</v>
      </c>
      <c r="U34">
        <v>121921</v>
      </c>
      <c r="V34">
        <v>125305</v>
      </c>
      <c r="W34">
        <v>116165</v>
      </c>
      <c r="X34">
        <v>116635</v>
      </c>
      <c r="Y34">
        <v>112434</v>
      </c>
      <c r="Z34">
        <v>126284</v>
      </c>
      <c r="AA34">
        <v>126047</v>
      </c>
      <c r="AB34">
        <v>102155</v>
      </c>
      <c r="AC34">
        <v>141521</v>
      </c>
      <c r="AD34">
        <v>145411</v>
      </c>
      <c r="AE34">
        <v>132217</v>
      </c>
      <c r="AF34">
        <v>117168</v>
      </c>
      <c r="AG34">
        <v>171953</v>
      </c>
      <c r="AH34">
        <v>118041</v>
      </c>
      <c r="AI34">
        <v>158293</v>
      </c>
      <c r="AJ34">
        <v>106747</v>
      </c>
      <c r="AK34">
        <v>117622</v>
      </c>
      <c r="AL34">
        <v>128130</v>
      </c>
      <c r="AM34">
        <v>125892</v>
      </c>
      <c r="AN34">
        <v>92379</v>
      </c>
      <c r="AO34">
        <v>116245</v>
      </c>
      <c r="AP34">
        <v>134129</v>
      </c>
      <c r="AQ34">
        <v>123899</v>
      </c>
      <c r="AR34">
        <v>76654</v>
      </c>
    </row>
    <row r="35" spans="1:44" x14ac:dyDescent="0.3">
      <c r="A35" s="22"/>
      <c r="B35" s="22"/>
      <c r="C35" t="s">
        <v>20</v>
      </c>
      <c r="G35" t="s">
        <v>19</v>
      </c>
      <c r="H35">
        <v>0</v>
      </c>
      <c r="I35">
        <v>0</v>
      </c>
      <c r="J35">
        <v>0</v>
      </c>
      <c r="K35">
        <v>0</v>
      </c>
      <c r="L35">
        <v>0</v>
      </c>
      <c r="M35">
        <v>0</v>
      </c>
      <c r="N35">
        <v>0</v>
      </c>
      <c r="O35">
        <v>2863</v>
      </c>
      <c r="P35">
        <v>1967</v>
      </c>
      <c r="Q35">
        <v>1637</v>
      </c>
      <c r="R35">
        <v>1800</v>
      </c>
      <c r="S35">
        <v>4035</v>
      </c>
      <c r="T35">
        <v>907</v>
      </c>
      <c r="U35">
        <v>3104</v>
      </c>
      <c r="V35">
        <v>98814</v>
      </c>
      <c r="W35">
        <v>38390</v>
      </c>
      <c r="X35">
        <v>64363</v>
      </c>
      <c r="Y35">
        <v>53776</v>
      </c>
      <c r="Z35">
        <v>1167</v>
      </c>
      <c r="AA35">
        <v>29176</v>
      </c>
      <c r="AB35">
        <v>43741</v>
      </c>
      <c r="AC35">
        <v>41085</v>
      </c>
      <c r="AD35">
        <v>20232</v>
      </c>
      <c r="AE35">
        <v>27700</v>
      </c>
      <c r="AF35">
        <v>94699</v>
      </c>
      <c r="AG35">
        <v>43478</v>
      </c>
      <c r="AH35">
        <v>112313</v>
      </c>
      <c r="AI35">
        <v>124452</v>
      </c>
      <c r="AJ35">
        <v>142285</v>
      </c>
      <c r="AK35">
        <v>243068</v>
      </c>
      <c r="AL35">
        <v>321734</v>
      </c>
      <c r="AM35">
        <v>353021</v>
      </c>
      <c r="AN35">
        <v>493791</v>
      </c>
      <c r="AO35">
        <v>391355</v>
      </c>
      <c r="AP35">
        <v>296882</v>
      </c>
      <c r="AQ35">
        <v>214592</v>
      </c>
      <c r="AR35">
        <v>202251</v>
      </c>
    </row>
    <row r="36" spans="1:44" x14ac:dyDescent="0.3">
      <c r="A36" s="22"/>
      <c r="B36" s="22"/>
      <c r="C36" t="s">
        <v>21</v>
      </c>
      <c r="G36" t="s">
        <v>20</v>
      </c>
      <c r="H36">
        <v>0</v>
      </c>
      <c r="I36">
        <v>0</v>
      </c>
      <c r="J36">
        <v>0</v>
      </c>
      <c r="K36">
        <v>0</v>
      </c>
      <c r="L36">
        <v>0</v>
      </c>
      <c r="M36">
        <v>0</v>
      </c>
      <c r="N36">
        <v>0</v>
      </c>
      <c r="O36">
        <v>0</v>
      </c>
      <c r="P36">
        <v>4288</v>
      </c>
      <c r="Q36">
        <v>4206</v>
      </c>
      <c r="R36">
        <v>4382</v>
      </c>
      <c r="S36">
        <v>4313</v>
      </c>
      <c r="T36">
        <v>4662</v>
      </c>
      <c r="U36">
        <v>4756</v>
      </c>
      <c r="V36">
        <v>5787</v>
      </c>
      <c r="W36">
        <v>6098</v>
      </c>
      <c r="X36">
        <v>6391</v>
      </c>
      <c r="Y36">
        <v>6459</v>
      </c>
      <c r="Z36">
        <v>7835</v>
      </c>
      <c r="AA36">
        <v>8579</v>
      </c>
      <c r="AB36">
        <v>18392</v>
      </c>
      <c r="AC36">
        <v>28285</v>
      </c>
      <c r="AD36">
        <v>32449</v>
      </c>
      <c r="AE36">
        <v>36097</v>
      </c>
      <c r="AF36">
        <v>38001</v>
      </c>
      <c r="AG36">
        <v>39897</v>
      </c>
      <c r="AH36">
        <v>42917</v>
      </c>
      <c r="AI36">
        <v>46713</v>
      </c>
      <c r="AJ36">
        <v>20921</v>
      </c>
      <c r="AK36">
        <v>36060</v>
      </c>
      <c r="AL36">
        <v>30110</v>
      </c>
      <c r="AM36">
        <v>30431</v>
      </c>
      <c r="AN36">
        <v>14867</v>
      </c>
      <c r="AO36">
        <v>16382</v>
      </c>
      <c r="AP36">
        <v>19460</v>
      </c>
      <c r="AQ36">
        <v>21251</v>
      </c>
      <c r="AR36">
        <v>19779</v>
      </c>
    </row>
    <row r="37" spans="1:44" x14ac:dyDescent="0.3">
      <c r="A37" s="22"/>
      <c r="B37" s="22"/>
      <c r="C37" t="s">
        <v>33</v>
      </c>
      <c r="G37" t="s">
        <v>21</v>
      </c>
      <c r="H37">
        <v>321</v>
      </c>
      <c r="I37">
        <v>500</v>
      </c>
      <c r="J37">
        <v>684</v>
      </c>
      <c r="K37">
        <v>640</v>
      </c>
      <c r="L37">
        <v>649</v>
      </c>
      <c r="M37">
        <v>822</v>
      </c>
      <c r="N37">
        <v>1095</v>
      </c>
      <c r="O37">
        <v>946</v>
      </c>
      <c r="P37">
        <v>539</v>
      </c>
      <c r="Q37">
        <v>761</v>
      </c>
      <c r="R37">
        <v>968</v>
      </c>
      <c r="S37">
        <v>1214</v>
      </c>
      <c r="T37">
        <v>1187</v>
      </c>
      <c r="U37">
        <v>1500</v>
      </c>
      <c r="V37">
        <v>1965</v>
      </c>
      <c r="W37">
        <v>1940</v>
      </c>
      <c r="X37">
        <v>1529</v>
      </c>
      <c r="Y37">
        <v>1032</v>
      </c>
      <c r="Z37">
        <v>1952</v>
      </c>
      <c r="AA37">
        <v>1818</v>
      </c>
      <c r="AB37">
        <v>1759</v>
      </c>
      <c r="AC37">
        <v>2687</v>
      </c>
      <c r="AD37">
        <v>5360</v>
      </c>
      <c r="AE37">
        <v>5498</v>
      </c>
      <c r="AF37">
        <v>5423</v>
      </c>
      <c r="AG37">
        <v>7831</v>
      </c>
      <c r="AH37">
        <v>10139</v>
      </c>
      <c r="AI37">
        <v>10164</v>
      </c>
      <c r="AJ37">
        <v>8863</v>
      </c>
      <c r="AK37">
        <v>11728</v>
      </c>
      <c r="AL37">
        <v>16224</v>
      </c>
      <c r="AM37">
        <v>17057</v>
      </c>
      <c r="AN37">
        <v>14888</v>
      </c>
      <c r="AO37">
        <v>18699</v>
      </c>
      <c r="AP37">
        <v>23861</v>
      </c>
      <c r="AQ37">
        <v>24388</v>
      </c>
      <c r="AR37">
        <v>23648</v>
      </c>
    </row>
    <row r="38" spans="1:44" x14ac:dyDescent="0.3">
      <c r="A38" s="22"/>
      <c r="B38" s="22"/>
      <c r="C38" t="s">
        <v>22</v>
      </c>
      <c r="G38" t="s">
        <v>33</v>
      </c>
      <c r="H38">
        <v>8573</v>
      </c>
      <c r="I38">
        <v>8574</v>
      </c>
      <c r="J38">
        <v>8573</v>
      </c>
      <c r="K38">
        <v>8574</v>
      </c>
      <c r="L38">
        <v>10301</v>
      </c>
      <c r="M38">
        <v>10301</v>
      </c>
      <c r="N38">
        <v>10301</v>
      </c>
      <c r="O38">
        <v>10301</v>
      </c>
      <c r="P38">
        <v>14222</v>
      </c>
      <c r="Q38">
        <v>14222</v>
      </c>
      <c r="R38">
        <v>14223</v>
      </c>
      <c r="S38">
        <v>14223</v>
      </c>
      <c r="T38">
        <v>18317</v>
      </c>
      <c r="U38">
        <v>18317</v>
      </c>
      <c r="V38">
        <v>18318</v>
      </c>
      <c r="W38">
        <v>18318</v>
      </c>
      <c r="X38">
        <v>24872</v>
      </c>
      <c r="Y38">
        <v>24872</v>
      </c>
      <c r="Z38">
        <v>24872</v>
      </c>
      <c r="AA38">
        <v>24872</v>
      </c>
      <c r="AB38">
        <v>32995.5</v>
      </c>
      <c r="AC38">
        <v>32995.5</v>
      </c>
      <c r="AD38">
        <v>39353</v>
      </c>
      <c r="AE38">
        <v>39352</v>
      </c>
      <c r="AF38">
        <v>46402</v>
      </c>
      <c r="AG38">
        <v>46402</v>
      </c>
      <c r="AH38">
        <v>47330</v>
      </c>
      <c r="AI38">
        <v>47330</v>
      </c>
      <c r="AJ38">
        <v>66706</v>
      </c>
      <c r="AK38">
        <v>66706</v>
      </c>
      <c r="AL38">
        <v>75605</v>
      </c>
      <c r="AM38">
        <v>75605</v>
      </c>
      <c r="AN38">
        <v>73443</v>
      </c>
      <c r="AO38">
        <v>73443</v>
      </c>
      <c r="AP38">
        <v>83949</v>
      </c>
      <c r="AQ38">
        <v>83949</v>
      </c>
      <c r="AR38">
        <v>0</v>
      </c>
    </row>
    <row r="39" spans="1:44" x14ac:dyDescent="0.3">
      <c r="A39" s="22"/>
      <c r="B39" s="22"/>
      <c r="C39" t="s">
        <v>23</v>
      </c>
      <c r="G39" t="s">
        <v>22</v>
      </c>
      <c r="H39">
        <v>35773</v>
      </c>
      <c r="I39">
        <v>40149</v>
      </c>
      <c r="J39">
        <v>37633</v>
      </c>
      <c r="K39">
        <v>37148</v>
      </c>
      <c r="L39">
        <v>35320</v>
      </c>
      <c r="M39">
        <v>41860</v>
      </c>
      <c r="N39">
        <v>33280</v>
      </c>
      <c r="O39">
        <v>32285</v>
      </c>
      <c r="P39">
        <v>30356</v>
      </c>
      <c r="Q39">
        <v>31671</v>
      </c>
      <c r="R39">
        <v>33147</v>
      </c>
      <c r="S39">
        <v>35201</v>
      </c>
      <c r="T39">
        <v>27189</v>
      </c>
      <c r="U39">
        <v>34844</v>
      </c>
      <c r="V39">
        <v>51580</v>
      </c>
      <c r="W39">
        <v>55045</v>
      </c>
      <c r="X39">
        <v>45329</v>
      </c>
      <c r="Y39">
        <v>47983</v>
      </c>
      <c r="Z39">
        <v>72658</v>
      </c>
      <c r="AA39">
        <v>98924</v>
      </c>
      <c r="AB39">
        <v>79493</v>
      </c>
      <c r="AC39">
        <v>120639</v>
      </c>
      <c r="AD39">
        <v>117834</v>
      </c>
      <c r="AE39">
        <v>98675</v>
      </c>
      <c r="AF39">
        <v>89264</v>
      </c>
      <c r="AG39">
        <v>106804</v>
      </c>
      <c r="AH39">
        <v>97059</v>
      </c>
      <c r="AI39">
        <v>98292</v>
      </c>
      <c r="AJ39">
        <v>105211</v>
      </c>
      <c r="AK39">
        <v>108388</v>
      </c>
      <c r="AL39">
        <v>81079</v>
      </c>
      <c r="AM39">
        <v>94122</v>
      </c>
      <c r="AN39">
        <v>82595</v>
      </c>
      <c r="AO39">
        <v>122239</v>
      </c>
      <c r="AP39">
        <v>110327</v>
      </c>
      <c r="AQ39">
        <v>115768</v>
      </c>
      <c r="AR39">
        <v>110992</v>
      </c>
    </row>
    <row r="40" spans="1:44" x14ac:dyDescent="0.3">
      <c r="A40" s="22"/>
      <c r="B40" s="22"/>
      <c r="C40" t="s">
        <v>24</v>
      </c>
      <c r="G40" t="s">
        <v>23</v>
      </c>
      <c r="H40">
        <v>2223</v>
      </c>
      <c r="I40">
        <v>0</v>
      </c>
      <c r="J40">
        <v>622</v>
      </c>
      <c r="K40">
        <v>0</v>
      </c>
      <c r="L40">
        <v>0</v>
      </c>
      <c r="M40">
        <v>0</v>
      </c>
      <c r="N40">
        <v>0</v>
      </c>
      <c r="O40">
        <v>0</v>
      </c>
      <c r="P40">
        <v>0</v>
      </c>
      <c r="Q40">
        <v>0</v>
      </c>
      <c r="R40">
        <v>0</v>
      </c>
      <c r="S40">
        <v>0</v>
      </c>
      <c r="T40">
        <v>0</v>
      </c>
      <c r="U40">
        <v>469</v>
      </c>
      <c r="V40">
        <v>0</v>
      </c>
      <c r="W40">
        <v>271</v>
      </c>
      <c r="X40">
        <v>0</v>
      </c>
      <c r="Y40">
        <v>98</v>
      </c>
      <c r="Z40">
        <v>0</v>
      </c>
      <c r="AA40">
        <v>0</v>
      </c>
      <c r="AB40">
        <v>0</v>
      </c>
      <c r="AC40">
        <v>0</v>
      </c>
      <c r="AD40">
        <v>0</v>
      </c>
      <c r="AE40">
        <v>0</v>
      </c>
      <c r="AF40">
        <v>0</v>
      </c>
      <c r="AG40">
        <v>0</v>
      </c>
      <c r="AH40">
        <v>0</v>
      </c>
      <c r="AI40">
        <v>0</v>
      </c>
      <c r="AJ40">
        <v>0</v>
      </c>
      <c r="AK40">
        <v>0</v>
      </c>
      <c r="AL40">
        <v>0</v>
      </c>
      <c r="AM40">
        <v>0</v>
      </c>
      <c r="AN40">
        <v>0</v>
      </c>
      <c r="AO40">
        <v>0</v>
      </c>
      <c r="AP40">
        <v>10</v>
      </c>
      <c r="AQ40">
        <v>874</v>
      </c>
      <c r="AR40">
        <v>0</v>
      </c>
    </row>
    <row r="41" spans="1:44" x14ac:dyDescent="0.3">
      <c r="A41" s="22"/>
      <c r="B41" s="22"/>
      <c r="C41" t="s">
        <v>25</v>
      </c>
      <c r="G41" t="s">
        <v>24</v>
      </c>
      <c r="H41">
        <v>40263</v>
      </c>
      <c r="I41">
        <v>40120</v>
      </c>
      <c r="J41">
        <v>51501</v>
      </c>
      <c r="K41">
        <v>36170</v>
      </c>
      <c r="L41">
        <v>44266</v>
      </c>
      <c r="M41">
        <v>52398</v>
      </c>
      <c r="N41">
        <v>47958</v>
      </c>
      <c r="O41">
        <v>70276</v>
      </c>
      <c r="P41">
        <v>68913</v>
      </c>
      <c r="Q41">
        <v>73362</v>
      </c>
      <c r="R41">
        <v>92640</v>
      </c>
      <c r="S41">
        <v>95805</v>
      </c>
      <c r="T41">
        <v>79909</v>
      </c>
      <c r="U41">
        <v>88120</v>
      </c>
      <c r="V41">
        <v>104296</v>
      </c>
      <c r="W41">
        <v>89853</v>
      </c>
      <c r="X41">
        <v>79069</v>
      </c>
      <c r="Y41">
        <v>59772</v>
      </c>
      <c r="Z41">
        <v>73079</v>
      </c>
      <c r="AA41">
        <v>29552</v>
      </c>
      <c r="AB41">
        <v>30850</v>
      </c>
      <c r="AC41">
        <v>30190</v>
      </c>
      <c r="AD41">
        <v>38072</v>
      </c>
      <c r="AE41">
        <v>34197</v>
      </c>
      <c r="AF41">
        <v>32146</v>
      </c>
      <c r="AG41">
        <v>31059</v>
      </c>
      <c r="AH41">
        <v>45351</v>
      </c>
      <c r="AI41">
        <v>23470</v>
      </c>
      <c r="AJ41">
        <v>29497</v>
      </c>
      <c r="AK41">
        <v>32327</v>
      </c>
      <c r="AL41">
        <v>49751</v>
      </c>
      <c r="AM41">
        <v>47602</v>
      </c>
      <c r="AN41">
        <v>33238</v>
      </c>
      <c r="AO41">
        <v>23352</v>
      </c>
      <c r="AP41">
        <v>42885</v>
      </c>
      <c r="AQ41">
        <v>24941</v>
      </c>
      <c r="AR41">
        <v>18333</v>
      </c>
    </row>
    <row r="42" spans="1:44" x14ac:dyDescent="0.3">
      <c r="A42" s="22"/>
      <c r="B42" s="22"/>
      <c r="C42" t="s">
        <v>26</v>
      </c>
      <c r="G42" t="s">
        <v>25</v>
      </c>
      <c r="H42">
        <v>60400</v>
      </c>
      <c r="I42">
        <v>42330</v>
      </c>
      <c r="J42">
        <v>51234</v>
      </c>
      <c r="K42">
        <v>38364</v>
      </c>
      <c r="L42">
        <v>41545</v>
      </c>
      <c r="M42">
        <v>36241</v>
      </c>
      <c r="N42">
        <v>65353</v>
      </c>
      <c r="O42">
        <v>39825</v>
      </c>
      <c r="P42">
        <v>21805</v>
      </c>
      <c r="Q42">
        <v>11729</v>
      </c>
      <c r="R42">
        <v>14563</v>
      </c>
      <c r="S42">
        <v>6624</v>
      </c>
      <c r="T42">
        <v>6067</v>
      </c>
      <c r="U42">
        <v>13083</v>
      </c>
      <c r="V42">
        <v>2282</v>
      </c>
      <c r="W42">
        <v>760</v>
      </c>
      <c r="X42">
        <v>19</v>
      </c>
      <c r="Y42">
        <v>788</v>
      </c>
      <c r="Z42">
        <v>70</v>
      </c>
      <c r="AA42">
        <v>0</v>
      </c>
      <c r="AB42">
        <v>0</v>
      </c>
      <c r="AC42">
        <v>0</v>
      </c>
      <c r="AD42">
        <v>0</v>
      </c>
      <c r="AE42">
        <v>0</v>
      </c>
      <c r="AF42">
        <v>0</v>
      </c>
      <c r="AG42">
        <v>0</v>
      </c>
      <c r="AH42">
        <v>0</v>
      </c>
      <c r="AI42">
        <v>0</v>
      </c>
      <c r="AJ42">
        <v>0</v>
      </c>
      <c r="AK42">
        <v>0</v>
      </c>
      <c r="AL42">
        <v>0</v>
      </c>
      <c r="AM42">
        <v>0</v>
      </c>
      <c r="AN42">
        <v>222</v>
      </c>
      <c r="AO42">
        <v>150</v>
      </c>
      <c r="AP42">
        <v>1</v>
      </c>
      <c r="AQ42">
        <v>0</v>
      </c>
      <c r="AR42">
        <v>245</v>
      </c>
    </row>
    <row r="43" spans="1:44" x14ac:dyDescent="0.3">
      <c r="A43" s="22"/>
      <c r="B43" s="22"/>
      <c r="C43" t="s">
        <v>27</v>
      </c>
      <c r="G43" t="s">
        <v>26</v>
      </c>
      <c r="H43">
        <v>61</v>
      </c>
      <c r="I43">
        <v>112</v>
      </c>
      <c r="J43">
        <v>346</v>
      </c>
      <c r="K43">
        <v>292</v>
      </c>
      <c r="L43">
        <v>308</v>
      </c>
      <c r="M43">
        <v>297</v>
      </c>
      <c r="N43">
        <v>327</v>
      </c>
      <c r="O43">
        <v>272</v>
      </c>
      <c r="P43">
        <v>472</v>
      </c>
      <c r="Q43">
        <v>514</v>
      </c>
      <c r="R43">
        <v>486</v>
      </c>
      <c r="S43">
        <v>387</v>
      </c>
      <c r="T43">
        <v>383</v>
      </c>
      <c r="U43">
        <v>399</v>
      </c>
      <c r="V43">
        <v>435</v>
      </c>
      <c r="W43">
        <v>325</v>
      </c>
      <c r="X43">
        <v>263</v>
      </c>
      <c r="Y43">
        <v>136</v>
      </c>
      <c r="Z43">
        <v>99</v>
      </c>
      <c r="AA43">
        <v>113</v>
      </c>
      <c r="AB43">
        <v>302</v>
      </c>
      <c r="AC43">
        <v>284</v>
      </c>
      <c r="AD43">
        <v>89</v>
      </c>
      <c r="AE43">
        <v>16</v>
      </c>
      <c r="AF43">
        <v>2</v>
      </c>
      <c r="AG43">
        <v>162</v>
      </c>
      <c r="AH43">
        <v>156</v>
      </c>
      <c r="AI43">
        <v>178</v>
      </c>
      <c r="AJ43">
        <v>5</v>
      </c>
      <c r="AK43">
        <v>6</v>
      </c>
      <c r="AL43">
        <v>8</v>
      </c>
      <c r="AM43">
        <v>4</v>
      </c>
      <c r="AN43">
        <v>4</v>
      </c>
      <c r="AO43">
        <v>3</v>
      </c>
      <c r="AP43">
        <v>4</v>
      </c>
      <c r="AQ43">
        <v>4</v>
      </c>
      <c r="AR43">
        <v>4</v>
      </c>
    </row>
    <row r="44" spans="1:44" x14ac:dyDescent="0.3">
      <c r="A44" s="22"/>
      <c r="B44" s="22"/>
      <c r="C44" t="s">
        <v>28</v>
      </c>
      <c r="G44" t="s">
        <v>27</v>
      </c>
      <c r="H44">
        <v>0</v>
      </c>
      <c r="I44">
        <v>0</v>
      </c>
      <c r="J44">
        <v>0</v>
      </c>
      <c r="K44">
        <v>0</v>
      </c>
      <c r="L44">
        <v>0</v>
      </c>
      <c r="M44">
        <v>0</v>
      </c>
      <c r="N44">
        <v>0</v>
      </c>
      <c r="O44">
        <v>0</v>
      </c>
      <c r="P44">
        <v>0</v>
      </c>
      <c r="Q44">
        <v>0</v>
      </c>
      <c r="R44">
        <v>0</v>
      </c>
      <c r="S44">
        <v>43</v>
      </c>
      <c r="T44">
        <v>10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row>
    <row r="45" spans="1:44" x14ac:dyDescent="0.3">
      <c r="A45" s="22"/>
      <c r="B45" s="22"/>
      <c r="C45" t="s">
        <v>29</v>
      </c>
      <c r="G45" t="s">
        <v>28</v>
      </c>
      <c r="H45">
        <v>28</v>
      </c>
      <c r="I45">
        <v>28</v>
      </c>
      <c r="J45">
        <v>13</v>
      </c>
      <c r="K45">
        <v>31</v>
      </c>
      <c r="L45">
        <v>32</v>
      </c>
      <c r="M45">
        <v>68</v>
      </c>
      <c r="N45">
        <v>38</v>
      </c>
      <c r="O45">
        <v>61</v>
      </c>
      <c r="P45">
        <v>199</v>
      </c>
      <c r="Q45">
        <v>218</v>
      </c>
      <c r="R45">
        <v>238</v>
      </c>
      <c r="S45">
        <v>367</v>
      </c>
      <c r="T45">
        <v>413</v>
      </c>
      <c r="U45">
        <v>173</v>
      </c>
      <c r="V45">
        <v>375</v>
      </c>
      <c r="W45">
        <v>700</v>
      </c>
      <c r="X45">
        <v>305</v>
      </c>
      <c r="Y45">
        <v>45</v>
      </c>
      <c r="Z45">
        <v>57</v>
      </c>
      <c r="AA45">
        <v>107</v>
      </c>
      <c r="AB45">
        <v>150</v>
      </c>
      <c r="AC45">
        <v>360</v>
      </c>
      <c r="AD45">
        <v>338</v>
      </c>
      <c r="AE45">
        <v>454</v>
      </c>
      <c r="AF45">
        <v>385</v>
      </c>
      <c r="AG45">
        <v>446</v>
      </c>
      <c r="AH45">
        <v>258</v>
      </c>
      <c r="AI45">
        <v>435</v>
      </c>
      <c r="AJ45">
        <v>354</v>
      </c>
      <c r="AK45">
        <v>341</v>
      </c>
      <c r="AL45">
        <v>229</v>
      </c>
      <c r="AM45">
        <v>254</v>
      </c>
      <c r="AN45">
        <v>334</v>
      </c>
      <c r="AO45">
        <v>305</v>
      </c>
      <c r="AP45">
        <v>157</v>
      </c>
      <c r="AQ45">
        <v>325</v>
      </c>
      <c r="AR45">
        <v>207</v>
      </c>
    </row>
    <row r="46" spans="1:44" x14ac:dyDescent="0.3">
      <c r="A46" s="99"/>
      <c r="B46" s="22" t="s">
        <v>30</v>
      </c>
      <c r="C46" s="22"/>
      <c r="G46" t="s">
        <v>29</v>
      </c>
      <c r="H46">
        <v>0</v>
      </c>
      <c r="I46">
        <v>0</v>
      </c>
      <c r="J46">
        <v>0</v>
      </c>
      <c r="K46">
        <v>0</v>
      </c>
      <c r="L46">
        <v>0</v>
      </c>
      <c r="M46">
        <v>0</v>
      </c>
      <c r="N46">
        <v>0</v>
      </c>
      <c r="O46">
        <v>0</v>
      </c>
      <c r="P46">
        <v>0</v>
      </c>
      <c r="Q46">
        <v>0</v>
      </c>
      <c r="R46">
        <v>0</v>
      </c>
      <c r="S46">
        <v>168</v>
      </c>
      <c r="T46">
        <v>806</v>
      </c>
      <c r="U46">
        <v>1212</v>
      </c>
      <c r="V46">
        <v>1268</v>
      </c>
      <c r="W46">
        <v>1235</v>
      </c>
      <c r="X46">
        <v>1182</v>
      </c>
      <c r="Y46">
        <v>916</v>
      </c>
      <c r="Z46">
        <v>720</v>
      </c>
      <c r="AA46">
        <v>936</v>
      </c>
      <c r="AB46">
        <v>1168</v>
      </c>
      <c r="AC46">
        <v>1050</v>
      </c>
      <c r="AD46">
        <v>724</v>
      </c>
      <c r="AE46">
        <v>866</v>
      </c>
      <c r="AF46">
        <v>663</v>
      </c>
      <c r="AG46">
        <v>836</v>
      </c>
      <c r="AH46">
        <v>1316</v>
      </c>
      <c r="AI46">
        <v>993</v>
      </c>
      <c r="AJ46">
        <v>1386</v>
      </c>
      <c r="AK46">
        <v>1859</v>
      </c>
      <c r="AL46">
        <v>614</v>
      </c>
      <c r="AM46">
        <v>942</v>
      </c>
      <c r="AN46">
        <v>0</v>
      </c>
      <c r="AO46">
        <v>0</v>
      </c>
      <c r="AP46">
        <v>0</v>
      </c>
      <c r="AQ46">
        <v>0</v>
      </c>
      <c r="AR46">
        <v>0</v>
      </c>
    </row>
    <row r="47" spans="1:44" x14ac:dyDescent="0.3">
      <c r="A47" s="22" t="s">
        <v>34</v>
      </c>
      <c r="B47" s="22" t="s">
        <v>8</v>
      </c>
      <c r="C47" t="s">
        <v>9</v>
      </c>
      <c r="F47" t="s">
        <v>30</v>
      </c>
      <c r="H47">
        <v>206645</v>
      </c>
      <c r="I47">
        <v>197303</v>
      </c>
      <c r="J47">
        <v>229166</v>
      </c>
      <c r="K47">
        <v>193482</v>
      </c>
      <c r="L47">
        <v>191943</v>
      </c>
      <c r="M47">
        <v>228090</v>
      </c>
      <c r="N47">
        <v>253205</v>
      </c>
      <c r="O47">
        <v>247828</v>
      </c>
      <c r="P47">
        <v>217346</v>
      </c>
      <c r="Q47">
        <v>228894</v>
      </c>
      <c r="R47">
        <v>265848</v>
      </c>
      <c r="S47">
        <v>255668</v>
      </c>
      <c r="T47">
        <v>225398</v>
      </c>
      <c r="U47">
        <v>289995</v>
      </c>
      <c r="V47">
        <v>412514</v>
      </c>
      <c r="W47">
        <v>331751</v>
      </c>
      <c r="X47">
        <v>342432</v>
      </c>
      <c r="Y47">
        <v>310962</v>
      </c>
      <c r="Z47">
        <v>312250</v>
      </c>
      <c r="AA47">
        <v>323748</v>
      </c>
      <c r="AB47">
        <v>314476.5</v>
      </c>
      <c r="AC47">
        <v>403617.5</v>
      </c>
      <c r="AD47">
        <v>409524</v>
      </c>
      <c r="AE47">
        <v>386667</v>
      </c>
      <c r="AF47">
        <v>435869</v>
      </c>
      <c r="AG47">
        <v>457210</v>
      </c>
      <c r="AH47">
        <v>478973</v>
      </c>
      <c r="AI47">
        <v>519341</v>
      </c>
      <c r="AJ47">
        <v>503966</v>
      </c>
      <c r="AK47">
        <v>654376</v>
      </c>
      <c r="AL47">
        <v>745262</v>
      </c>
      <c r="AM47">
        <v>786323</v>
      </c>
      <c r="AN47">
        <v>817464</v>
      </c>
      <c r="AO47">
        <v>771827</v>
      </c>
      <c r="AP47">
        <v>719534</v>
      </c>
      <c r="AQ47">
        <v>619544</v>
      </c>
      <c r="AR47">
        <v>461245</v>
      </c>
    </row>
    <row r="48" spans="1:44" x14ac:dyDescent="0.3">
      <c r="A48" s="22"/>
      <c r="B48" s="22"/>
      <c r="C48" t="s">
        <v>10</v>
      </c>
      <c r="E48" t="s">
        <v>34</v>
      </c>
      <c r="F48" t="s">
        <v>8</v>
      </c>
      <c r="G48" t="s">
        <v>9</v>
      </c>
      <c r="H48">
        <v>56065</v>
      </c>
      <c r="I48">
        <v>47111</v>
      </c>
      <c r="J48">
        <v>54209</v>
      </c>
      <c r="K48">
        <v>48337</v>
      </c>
      <c r="L48">
        <v>45529</v>
      </c>
      <c r="M48">
        <v>60739</v>
      </c>
      <c r="N48">
        <v>63246</v>
      </c>
      <c r="O48">
        <v>52953</v>
      </c>
      <c r="P48">
        <v>66852</v>
      </c>
      <c r="Q48">
        <v>76577</v>
      </c>
      <c r="R48">
        <v>85850</v>
      </c>
      <c r="S48">
        <v>71455</v>
      </c>
      <c r="T48">
        <v>83000</v>
      </c>
      <c r="U48">
        <v>79497</v>
      </c>
      <c r="V48">
        <v>89450</v>
      </c>
      <c r="W48">
        <v>85464</v>
      </c>
      <c r="X48">
        <v>87193</v>
      </c>
      <c r="Y48">
        <v>109990</v>
      </c>
      <c r="Z48">
        <v>106701</v>
      </c>
      <c r="AA48">
        <v>109403</v>
      </c>
      <c r="AB48">
        <v>137378</v>
      </c>
      <c r="AC48">
        <v>137217</v>
      </c>
      <c r="AD48">
        <v>150733</v>
      </c>
      <c r="AE48">
        <v>126789</v>
      </c>
      <c r="AF48">
        <v>186759</v>
      </c>
      <c r="AG48">
        <v>167279</v>
      </c>
      <c r="AH48">
        <v>187253</v>
      </c>
      <c r="AI48">
        <v>179896</v>
      </c>
      <c r="AJ48">
        <v>180686</v>
      </c>
      <c r="AK48">
        <v>166256</v>
      </c>
      <c r="AL48">
        <v>195970</v>
      </c>
      <c r="AM48">
        <v>164340</v>
      </c>
      <c r="AN48">
        <v>175891</v>
      </c>
      <c r="AO48">
        <v>183623</v>
      </c>
      <c r="AP48">
        <v>236367</v>
      </c>
      <c r="AQ48">
        <v>250193</v>
      </c>
      <c r="AR48">
        <v>231204</v>
      </c>
    </row>
    <row r="49" spans="1:44" x14ac:dyDescent="0.3">
      <c r="A49" s="22"/>
      <c r="B49" s="22"/>
      <c r="C49" t="s">
        <v>11</v>
      </c>
      <c r="G49" t="s">
        <v>10</v>
      </c>
      <c r="H49">
        <v>0</v>
      </c>
      <c r="I49">
        <v>0</v>
      </c>
      <c r="J49">
        <v>0</v>
      </c>
      <c r="K49">
        <v>0</v>
      </c>
      <c r="L49">
        <v>0</v>
      </c>
      <c r="M49">
        <v>0</v>
      </c>
      <c r="N49">
        <v>0</v>
      </c>
      <c r="O49">
        <v>0</v>
      </c>
      <c r="P49">
        <v>0</v>
      </c>
      <c r="Q49">
        <v>0</v>
      </c>
      <c r="R49">
        <v>0</v>
      </c>
      <c r="S49">
        <v>0</v>
      </c>
      <c r="T49">
        <v>3</v>
      </c>
      <c r="U49">
        <v>11</v>
      </c>
      <c r="V49">
        <v>13</v>
      </c>
      <c r="W49">
        <v>9</v>
      </c>
      <c r="X49">
        <v>61</v>
      </c>
      <c r="Y49">
        <v>18</v>
      </c>
      <c r="Z49">
        <v>20</v>
      </c>
      <c r="AA49">
        <v>56</v>
      </c>
      <c r="AB49">
        <v>95</v>
      </c>
      <c r="AC49">
        <v>242</v>
      </c>
      <c r="AD49">
        <v>172</v>
      </c>
      <c r="AE49">
        <v>125</v>
      </c>
      <c r="AF49">
        <v>139</v>
      </c>
      <c r="AG49">
        <v>318</v>
      </c>
      <c r="AH49">
        <v>576</v>
      </c>
      <c r="AI49">
        <v>202</v>
      </c>
      <c r="AJ49">
        <v>356</v>
      </c>
      <c r="AK49">
        <v>190</v>
      </c>
      <c r="AL49">
        <v>275</v>
      </c>
      <c r="AM49">
        <v>140</v>
      </c>
      <c r="AN49">
        <v>131</v>
      </c>
      <c r="AO49">
        <v>331</v>
      </c>
      <c r="AP49">
        <v>405</v>
      </c>
      <c r="AQ49">
        <v>144</v>
      </c>
      <c r="AR49">
        <v>40</v>
      </c>
    </row>
    <row r="50" spans="1:44" x14ac:dyDescent="0.3">
      <c r="A50" s="22"/>
      <c r="B50" s="22"/>
      <c r="C50" t="s">
        <v>12</v>
      </c>
      <c r="G50" t="s">
        <v>11</v>
      </c>
      <c r="H50">
        <v>455</v>
      </c>
      <c r="I50">
        <v>213</v>
      </c>
      <c r="J50">
        <v>194</v>
      </c>
      <c r="K50">
        <v>169</v>
      </c>
      <c r="L50">
        <v>262</v>
      </c>
      <c r="M50">
        <v>335</v>
      </c>
      <c r="N50">
        <v>309</v>
      </c>
      <c r="O50">
        <v>367</v>
      </c>
      <c r="P50">
        <v>549</v>
      </c>
      <c r="Q50">
        <v>437</v>
      </c>
      <c r="R50">
        <v>534</v>
      </c>
      <c r="S50">
        <v>488</v>
      </c>
      <c r="T50">
        <v>1056</v>
      </c>
      <c r="U50">
        <v>1593</v>
      </c>
      <c r="V50">
        <v>1623</v>
      </c>
      <c r="W50">
        <v>1064</v>
      </c>
      <c r="X50">
        <v>1819</v>
      </c>
      <c r="Y50">
        <v>1413</v>
      </c>
      <c r="Z50">
        <v>1380</v>
      </c>
      <c r="AA50">
        <v>1172</v>
      </c>
      <c r="AB50">
        <v>1479</v>
      </c>
      <c r="AC50">
        <v>2151</v>
      </c>
      <c r="AD50">
        <v>1871</v>
      </c>
      <c r="AE50">
        <v>1327</v>
      </c>
      <c r="AF50">
        <v>2252</v>
      </c>
      <c r="AG50">
        <v>1924</v>
      </c>
      <c r="AH50">
        <v>1635</v>
      </c>
      <c r="AI50">
        <v>1159</v>
      </c>
      <c r="AJ50">
        <v>1146</v>
      </c>
      <c r="AK50">
        <v>2099</v>
      </c>
      <c r="AL50">
        <v>3523</v>
      </c>
      <c r="AM50">
        <v>2158</v>
      </c>
      <c r="AN50">
        <v>1528</v>
      </c>
      <c r="AO50">
        <v>1215</v>
      </c>
      <c r="AP50">
        <v>1615</v>
      </c>
      <c r="AQ50">
        <v>1678</v>
      </c>
      <c r="AR50">
        <v>1385</v>
      </c>
    </row>
    <row r="51" spans="1:44" x14ac:dyDescent="0.3">
      <c r="A51" s="22"/>
      <c r="B51" s="22"/>
      <c r="C51" t="s">
        <v>13</v>
      </c>
      <c r="G51" t="s">
        <v>12</v>
      </c>
      <c r="H51">
        <v>104547</v>
      </c>
      <c r="I51">
        <v>91755</v>
      </c>
      <c r="J51">
        <v>105333</v>
      </c>
      <c r="K51">
        <v>89375</v>
      </c>
      <c r="L51">
        <v>81068</v>
      </c>
      <c r="M51">
        <v>108298</v>
      </c>
      <c r="N51">
        <v>122947</v>
      </c>
      <c r="O51">
        <v>109770</v>
      </c>
      <c r="P51">
        <v>122726</v>
      </c>
      <c r="Q51">
        <v>152115</v>
      </c>
      <c r="R51">
        <v>148752</v>
      </c>
      <c r="S51">
        <v>141313</v>
      </c>
      <c r="T51">
        <v>155572</v>
      </c>
      <c r="U51">
        <v>165213</v>
      </c>
      <c r="V51">
        <v>167824</v>
      </c>
      <c r="W51">
        <v>168175</v>
      </c>
      <c r="X51">
        <v>189746</v>
      </c>
      <c r="Y51">
        <v>150476</v>
      </c>
      <c r="Z51">
        <v>219545</v>
      </c>
      <c r="AA51">
        <v>177538</v>
      </c>
      <c r="AB51">
        <v>228108</v>
      </c>
      <c r="AC51">
        <v>233049</v>
      </c>
      <c r="AD51">
        <v>267321</v>
      </c>
      <c r="AE51">
        <v>227440</v>
      </c>
      <c r="AF51">
        <v>282921</v>
      </c>
      <c r="AG51">
        <v>298310</v>
      </c>
      <c r="AH51">
        <v>320169</v>
      </c>
      <c r="AI51">
        <v>323485</v>
      </c>
      <c r="AJ51">
        <v>338528</v>
      </c>
      <c r="AK51">
        <v>355761</v>
      </c>
      <c r="AL51">
        <v>387915</v>
      </c>
      <c r="AM51">
        <v>353250</v>
      </c>
      <c r="AN51">
        <v>399341</v>
      </c>
      <c r="AO51">
        <v>455331</v>
      </c>
      <c r="AP51">
        <v>419420</v>
      </c>
      <c r="AQ51">
        <v>423068</v>
      </c>
      <c r="AR51">
        <v>473671</v>
      </c>
    </row>
    <row r="52" spans="1:44" x14ac:dyDescent="0.3">
      <c r="A52" s="22"/>
      <c r="B52" s="22" t="s">
        <v>14</v>
      </c>
      <c r="C52" s="22"/>
      <c r="G52" t="s">
        <v>13</v>
      </c>
      <c r="H52">
        <v>484</v>
      </c>
      <c r="I52">
        <v>414</v>
      </c>
      <c r="J52">
        <v>451</v>
      </c>
      <c r="K52">
        <v>387</v>
      </c>
      <c r="L52">
        <v>823</v>
      </c>
      <c r="M52">
        <v>1039</v>
      </c>
      <c r="N52">
        <v>1360</v>
      </c>
      <c r="O52">
        <v>1037</v>
      </c>
      <c r="P52">
        <v>2325</v>
      </c>
      <c r="Q52">
        <v>2519</v>
      </c>
      <c r="R52">
        <v>2359</v>
      </c>
      <c r="S52">
        <v>1816</v>
      </c>
      <c r="T52">
        <v>3929</v>
      </c>
      <c r="U52">
        <v>4353</v>
      </c>
      <c r="V52">
        <v>3916</v>
      </c>
      <c r="W52">
        <v>3907</v>
      </c>
      <c r="X52">
        <v>5742</v>
      </c>
      <c r="Y52">
        <v>5016</v>
      </c>
      <c r="Z52">
        <v>5433</v>
      </c>
      <c r="AA52">
        <v>5359</v>
      </c>
      <c r="AB52">
        <v>7296</v>
      </c>
      <c r="AC52">
        <v>8334</v>
      </c>
      <c r="AD52">
        <v>8389</v>
      </c>
      <c r="AE52">
        <v>7400</v>
      </c>
      <c r="AF52">
        <v>10154</v>
      </c>
      <c r="AG52">
        <v>10011</v>
      </c>
      <c r="AH52">
        <v>10378</v>
      </c>
      <c r="AI52">
        <v>8804</v>
      </c>
      <c r="AJ52">
        <v>6553</v>
      </c>
      <c r="AK52">
        <v>9353</v>
      </c>
      <c r="AL52">
        <v>13275</v>
      </c>
      <c r="AM52">
        <v>9356</v>
      </c>
      <c r="AN52">
        <v>11500</v>
      </c>
      <c r="AO52">
        <v>13552</v>
      </c>
      <c r="AP52">
        <v>12222</v>
      </c>
      <c r="AQ52">
        <v>10847</v>
      </c>
      <c r="AR52">
        <v>13001</v>
      </c>
    </row>
    <row r="53" spans="1:44" x14ac:dyDescent="0.3">
      <c r="A53" s="22"/>
      <c r="B53" s="22" t="s">
        <v>15</v>
      </c>
      <c r="C53" t="s">
        <v>16</v>
      </c>
      <c r="F53" t="s">
        <v>14</v>
      </c>
      <c r="H53">
        <v>161551</v>
      </c>
      <c r="I53">
        <v>139493</v>
      </c>
      <c r="J53">
        <v>160187</v>
      </c>
      <c r="K53">
        <v>138268</v>
      </c>
      <c r="L53">
        <v>127682</v>
      </c>
      <c r="M53">
        <v>170411</v>
      </c>
      <c r="N53">
        <v>187862</v>
      </c>
      <c r="O53">
        <v>164127</v>
      </c>
      <c r="P53">
        <v>192452</v>
      </c>
      <c r="Q53">
        <v>231648</v>
      </c>
      <c r="R53">
        <v>237495</v>
      </c>
      <c r="S53">
        <v>215072</v>
      </c>
      <c r="T53">
        <v>243560</v>
      </c>
      <c r="U53">
        <v>250667</v>
      </c>
      <c r="V53">
        <v>262826</v>
      </c>
      <c r="W53">
        <v>258619</v>
      </c>
      <c r="X53">
        <v>284561</v>
      </c>
      <c r="Y53">
        <v>266913</v>
      </c>
      <c r="Z53">
        <v>333079</v>
      </c>
      <c r="AA53">
        <v>293528</v>
      </c>
      <c r="AB53">
        <v>374356</v>
      </c>
      <c r="AC53">
        <v>380993</v>
      </c>
      <c r="AD53">
        <v>428486</v>
      </c>
      <c r="AE53">
        <v>363081</v>
      </c>
      <c r="AF53">
        <v>482225</v>
      </c>
      <c r="AG53">
        <v>477842</v>
      </c>
      <c r="AH53">
        <v>520011</v>
      </c>
      <c r="AI53">
        <v>513546</v>
      </c>
      <c r="AJ53">
        <v>527269</v>
      </c>
      <c r="AK53">
        <v>533659</v>
      </c>
      <c r="AL53">
        <v>600958</v>
      </c>
      <c r="AM53">
        <v>529244</v>
      </c>
      <c r="AN53">
        <v>588391</v>
      </c>
      <c r="AO53">
        <v>654052</v>
      </c>
      <c r="AP53">
        <v>670029</v>
      </c>
      <c r="AQ53">
        <v>685930</v>
      </c>
      <c r="AR53">
        <v>719301</v>
      </c>
    </row>
    <row r="54" spans="1:44" x14ac:dyDescent="0.3">
      <c r="A54" s="22"/>
      <c r="B54" s="22"/>
      <c r="C54" t="s">
        <v>17</v>
      </c>
      <c r="F54" t="s">
        <v>15</v>
      </c>
      <c r="G54" t="s">
        <v>16</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row>
    <row r="55" spans="1:44" x14ac:dyDescent="0.3">
      <c r="A55" s="22"/>
      <c r="B55" s="22"/>
      <c r="C55" t="s">
        <v>18</v>
      </c>
      <c r="G55" t="s">
        <v>17</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row>
    <row r="56" spans="1:44" x14ac:dyDescent="0.3">
      <c r="A56" s="22"/>
      <c r="B56" s="22"/>
      <c r="C56" t="s">
        <v>19</v>
      </c>
      <c r="G56" t="s">
        <v>18</v>
      </c>
      <c r="H56">
        <v>148</v>
      </c>
      <c r="I56">
        <v>1256</v>
      </c>
      <c r="J56">
        <v>1287</v>
      </c>
      <c r="K56">
        <v>483</v>
      </c>
      <c r="L56">
        <v>514</v>
      </c>
      <c r="M56">
        <v>906</v>
      </c>
      <c r="N56">
        <v>2144</v>
      </c>
      <c r="O56">
        <v>1286</v>
      </c>
      <c r="P56">
        <v>659</v>
      </c>
      <c r="Q56">
        <v>1134</v>
      </c>
      <c r="R56">
        <v>1096</v>
      </c>
      <c r="S56">
        <v>593</v>
      </c>
      <c r="T56">
        <v>1869</v>
      </c>
      <c r="U56">
        <v>1406</v>
      </c>
      <c r="V56">
        <v>1513</v>
      </c>
      <c r="W56">
        <v>942</v>
      </c>
      <c r="X56">
        <v>159</v>
      </c>
      <c r="Y56">
        <v>3928</v>
      </c>
      <c r="Z56">
        <v>1445</v>
      </c>
      <c r="AA56">
        <v>3193</v>
      </c>
      <c r="AB56">
        <v>1375</v>
      </c>
      <c r="AC56">
        <v>383</v>
      </c>
      <c r="AD56">
        <v>2222</v>
      </c>
      <c r="AE56">
        <v>256</v>
      </c>
      <c r="AF56">
        <v>1306</v>
      </c>
      <c r="AG56">
        <v>10530</v>
      </c>
      <c r="AH56">
        <v>5623</v>
      </c>
      <c r="AI56">
        <v>4582</v>
      </c>
      <c r="AJ56">
        <v>831</v>
      </c>
      <c r="AK56">
        <v>893</v>
      </c>
      <c r="AL56">
        <v>1873</v>
      </c>
      <c r="AM56">
        <v>652</v>
      </c>
      <c r="AN56">
        <v>1676</v>
      </c>
      <c r="AO56">
        <v>1662</v>
      </c>
      <c r="AP56">
        <v>480</v>
      </c>
      <c r="AQ56">
        <v>1329</v>
      </c>
      <c r="AR56">
        <v>2615</v>
      </c>
    </row>
    <row r="57" spans="1:44" x14ac:dyDescent="0.3">
      <c r="A57" s="22"/>
      <c r="B57" s="22"/>
      <c r="C57" t="s">
        <v>20</v>
      </c>
      <c r="G57" t="s">
        <v>19</v>
      </c>
      <c r="H57">
        <v>0</v>
      </c>
      <c r="I57">
        <v>0</v>
      </c>
      <c r="J57">
        <v>0</v>
      </c>
      <c r="K57">
        <v>0</v>
      </c>
      <c r="L57">
        <v>0</v>
      </c>
      <c r="M57">
        <v>0</v>
      </c>
      <c r="N57">
        <v>0</v>
      </c>
      <c r="O57">
        <v>0</v>
      </c>
      <c r="P57">
        <v>18</v>
      </c>
      <c r="Q57">
        <v>0</v>
      </c>
      <c r="R57">
        <v>0</v>
      </c>
      <c r="S57">
        <v>0</v>
      </c>
      <c r="T57">
        <v>0</v>
      </c>
      <c r="U57">
        <v>0</v>
      </c>
      <c r="V57">
        <v>0</v>
      </c>
      <c r="W57">
        <v>0</v>
      </c>
      <c r="X57">
        <v>117</v>
      </c>
      <c r="Y57">
        <v>208</v>
      </c>
      <c r="Z57">
        <v>302</v>
      </c>
      <c r="AA57">
        <v>141</v>
      </c>
      <c r="AB57">
        <v>15454</v>
      </c>
      <c r="AC57">
        <v>29012</v>
      </c>
      <c r="AD57">
        <v>176</v>
      </c>
      <c r="AE57">
        <v>13383</v>
      </c>
      <c r="AF57">
        <v>4558</v>
      </c>
      <c r="AG57">
        <v>7887</v>
      </c>
      <c r="AH57">
        <v>28791</v>
      </c>
      <c r="AI57">
        <v>151</v>
      </c>
      <c r="AJ57">
        <v>164</v>
      </c>
      <c r="AK57">
        <v>36022</v>
      </c>
      <c r="AL57">
        <v>15601</v>
      </c>
      <c r="AM57">
        <v>50023</v>
      </c>
      <c r="AN57">
        <v>68219</v>
      </c>
      <c r="AO57">
        <v>73090</v>
      </c>
      <c r="AP57">
        <v>22778</v>
      </c>
      <c r="AQ57">
        <v>3493</v>
      </c>
      <c r="AR57">
        <v>85050</v>
      </c>
    </row>
    <row r="58" spans="1:44" x14ac:dyDescent="0.3">
      <c r="A58" s="22"/>
      <c r="B58" s="22"/>
      <c r="C58" t="s">
        <v>21</v>
      </c>
      <c r="G58" t="s">
        <v>20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row>
    <row r="59" spans="1:44" x14ac:dyDescent="0.3">
      <c r="A59" s="22"/>
      <c r="B59" s="22"/>
      <c r="C59" t="s">
        <v>22</v>
      </c>
      <c r="G59" t="s">
        <v>21</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row>
    <row r="60" spans="1:44" x14ac:dyDescent="0.3">
      <c r="A60" s="22"/>
      <c r="B60" s="22"/>
      <c r="C60" t="s">
        <v>23</v>
      </c>
      <c r="G60" t="s">
        <v>22</v>
      </c>
      <c r="H60">
        <v>0</v>
      </c>
      <c r="I60">
        <v>1516</v>
      </c>
      <c r="J60">
        <v>2383</v>
      </c>
      <c r="K60">
        <v>0</v>
      </c>
      <c r="L60">
        <v>0</v>
      </c>
      <c r="M60">
        <v>8226</v>
      </c>
      <c r="N60">
        <v>0</v>
      </c>
      <c r="O60">
        <v>0</v>
      </c>
      <c r="P60">
        <v>292</v>
      </c>
      <c r="Q60">
        <v>0</v>
      </c>
      <c r="R60">
        <v>0</v>
      </c>
      <c r="S60">
        <v>3765</v>
      </c>
      <c r="T60">
        <v>0</v>
      </c>
      <c r="U60">
        <v>388</v>
      </c>
      <c r="V60">
        <v>354</v>
      </c>
      <c r="W60">
        <v>4915</v>
      </c>
      <c r="X60">
        <v>106</v>
      </c>
      <c r="Y60">
        <v>3</v>
      </c>
      <c r="Z60">
        <v>6032</v>
      </c>
      <c r="AA60">
        <v>1252</v>
      </c>
      <c r="AB60">
        <v>1528</v>
      </c>
      <c r="AC60">
        <v>22</v>
      </c>
      <c r="AD60">
        <v>259</v>
      </c>
      <c r="AE60">
        <v>1640</v>
      </c>
      <c r="AF60">
        <v>5709</v>
      </c>
      <c r="AG60">
        <v>232</v>
      </c>
      <c r="AH60">
        <v>3642</v>
      </c>
      <c r="AI60">
        <v>25</v>
      </c>
      <c r="AJ60">
        <v>0</v>
      </c>
      <c r="AK60">
        <v>7621</v>
      </c>
      <c r="AL60">
        <v>1923</v>
      </c>
      <c r="AM60">
        <v>39</v>
      </c>
      <c r="AN60">
        <v>2156</v>
      </c>
      <c r="AO60">
        <v>8228</v>
      </c>
      <c r="AP60">
        <v>1793</v>
      </c>
      <c r="AQ60">
        <v>15208</v>
      </c>
      <c r="AR60">
        <v>9302</v>
      </c>
    </row>
    <row r="61" spans="1:44" x14ac:dyDescent="0.3">
      <c r="A61" s="22"/>
      <c r="B61" s="22"/>
      <c r="C61" t="s">
        <v>24</v>
      </c>
      <c r="G61" t="s">
        <v>23</v>
      </c>
      <c r="H61">
        <v>0</v>
      </c>
      <c r="I61">
        <v>0</v>
      </c>
      <c r="J61">
        <v>0</v>
      </c>
      <c r="K61">
        <v>0</v>
      </c>
      <c r="L61">
        <v>0</v>
      </c>
      <c r="M61">
        <v>0</v>
      </c>
      <c r="N61">
        <v>0</v>
      </c>
      <c r="O61">
        <v>0</v>
      </c>
      <c r="P61">
        <v>0</v>
      </c>
      <c r="Q61">
        <v>0</v>
      </c>
      <c r="R61">
        <v>0</v>
      </c>
      <c r="S61">
        <v>0</v>
      </c>
      <c r="T61">
        <v>0</v>
      </c>
      <c r="U61">
        <v>0</v>
      </c>
      <c r="V61">
        <v>0</v>
      </c>
      <c r="W61">
        <v>0</v>
      </c>
      <c r="X61">
        <v>4</v>
      </c>
      <c r="Y61">
        <v>0</v>
      </c>
      <c r="Z61">
        <v>0</v>
      </c>
      <c r="AA61">
        <v>0</v>
      </c>
      <c r="AB61">
        <v>0</v>
      </c>
      <c r="AC61">
        <v>0</v>
      </c>
      <c r="AD61">
        <v>0</v>
      </c>
      <c r="AE61">
        <v>0</v>
      </c>
      <c r="AF61">
        <v>0</v>
      </c>
      <c r="AG61">
        <v>0</v>
      </c>
      <c r="AH61">
        <v>0</v>
      </c>
      <c r="AI61">
        <v>0</v>
      </c>
      <c r="AJ61">
        <v>28</v>
      </c>
      <c r="AK61">
        <v>0</v>
      </c>
      <c r="AL61">
        <v>0</v>
      </c>
      <c r="AM61">
        <v>0</v>
      </c>
      <c r="AN61">
        <v>0</v>
      </c>
      <c r="AO61">
        <v>0</v>
      </c>
      <c r="AP61">
        <v>232</v>
      </c>
      <c r="AQ61">
        <v>0</v>
      </c>
      <c r="AR61">
        <v>0</v>
      </c>
    </row>
    <row r="62" spans="1:44" x14ac:dyDescent="0.3">
      <c r="A62" s="22"/>
      <c r="B62" s="22"/>
      <c r="C62" t="s">
        <v>25</v>
      </c>
      <c r="G62" t="s">
        <v>24</v>
      </c>
      <c r="H62">
        <v>0</v>
      </c>
      <c r="I62">
        <v>1817</v>
      </c>
      <c r="J62">
        <v>1447</v>
      </c>
      <c r="K62">
        <v>2771</v>
      </c>
      <c r="L62">
        <v>7370</v>
      </c>
      <c r="M62">
        <v>2800</v>
      </c>
      <c r="N62">
        <v>3123</v>
      </c>
      <c r="O62">
        <v>3653</v>
      </c>
      <c r="P62">
        <v>3494</v>
      </c>
      <c r="Q62">
        <v>2984</v>
      </c>
      <c r="R62">
        <v>5393</v>
      </c>
      <c r="S62">
        <v>3490</v>
      </c>
      <c r="T62">
        <v>4010</v>
      </c>
      <c r="U62">
        <v>8574</v>
      </c>
      <c r="V62">
        <v>11085</v>
      </c>
      <c r="W62">
        <v>1691</v>
      </c>
      <c r="X62">
        <v>1334</v>
      </c>
      <c r="Y62">
        <v>0</v>
      </c>
      <c r="Z62">
        <v>4652</v>
      </c>
      <c r="AA62">
        <v>3455</v>
      </c>
      <c r="AB62">
        <v>149</v>
      </c>
      <c r="AC62">
        <v>89</v>
      </c>
      <c r="AD62">
        <v>2854</v>
      </c>
      <c r="AE62">
        <v>860</v>
      </c>
      <c r="AF62">
        <v>651</v>
      </c>
      <c r="AG62">
        <v>127</v>
      </c>
      <c r="AH62">
        <v>2953</v>
      </c>
      <c r="AI62">
        <v>2868</v>
      </c>
      <c r="AJ62">
        <v>0</v>
      </c>
      <c r="AK62">
        <v>0</v>
      </c>
      <c r="AL62">
        <v>1077</v>
      </c>
      <c r="AM62">
        <v>3511</v>
      </c>
      <c r="AN62">
        <v>2344</v>
      </c>
      <c r="AO62">
        <v>650</v>
      </c>
      <c r="AP62">
        <v>1045</v>
      </c>
      <c r="AQ62">
        <v>3477</v>
      </c>
      <c r="AR62">
        <v>475</v>
      </c>
    </row>
    <row r="63" spans="1:44" x14ac:dyDescent="0.3">
      <c r="A63" s="22"/>
      <c r="B63" s="22"/>
      <c r="C63" t="s">
        <v>26</v>
      </c>
      <c r="G63" t="s">
        <v>25</v>
      </c>
      <c r="H63">
        <v>0</v>
      </c>
      <c r="I63">
        <v>480</v>
      </c>
      <c r="J63">
        <v>2618</v>
      </c>
      <c r="K63">
        <v>905</v>
      </c>
      <c r="L63">
        <v>3234</v>
      </c>
      <c r="M63">
        <v>2470</v>
      </c>
      <c r="N63">
        <v>12273</v>
      </c>
      <c r="O63">
        <v>17390</v>
      </c>
      <c r="P63">
        <v>203</v>
      </c>
      <c r="Q63">
        <v>0</v>
      </c>
      <c r="R63">
        <v>10</v>
      </c>
      <c r="S63">
        <v>206</v>
      </c>
      <c r="T63">
        <v>282</v>
      </c>
      <c r="U63">
        <v>9</v>
      </c>
      <c r="V63">
        <v>4</v>
      </c>
      <c r="W63">
        <v>0</v>
      </c>
      <c r="X63">
        <v>0</v>
      </c>
      <c r="Y63">
        <v>0</v>
      </c>
      <c r="Z63">
        <v>788</v>
      </c>
      <c r="AA63">
        <v>0</v>
      </c>
      <c r="AB63">
        <v>0</v>
      </c>
      <c r="AC63">
        <v>0</v>
      </c>
      <c r="AD63">
        <v>0</v>
      </c>
      <c r="AE63">
        <v>0</v>
      </c>
      <c r="AF63">
        <v>0</v>
      </c>
      <c r="AG63">
        <v>0</v>
      </c>
      <c r="AH63">
        <v>0</v>
      </c>
      <c r="AI63">
        <v>0</v>
      </c>
      <c r="AJ63">
        <v>0</v>
      </c>
      <c r="AK63">
        <v>0</v>
      </c>
      <c r="AL63">
        <v>0</v>
      </c>
      <c r="AM63">
        <v>0</v>
      </c>
      <c r="AN63">
        <v>0</v>
      </c>
      <c r="AO63">
        <v>0</v>
      </c>
      <c r="AP63">
        <v>26</v>
      </c>
      <c r="AQ63">
        <v>0</v>
      </c>
      <c r="AR63">
        <v>0</v>
      </c>
    </row>
    <row r="64" spans="1:44" x14ac:dyDescent="0.3">
      <c r="A64" s="22"/>
      <c r="B64" s="22"/>
      <c r="C64" t="s">
        <v>27</v>
      </c>
      <c r="G64" t="s">
        <v>26</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row>
    <row r="65" spans="1:51" x14ac:dyDescent="0.3">
      <c r="A65" s="22"/>
      <c r="B65" s="22"/>
      <c r="C65" t="s">
        <v>28</v>
      </c>
      <c r="G65" t="s">
        <v>27</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3</v>
      </c>
      <c r="AK65">
        <v>3</v>
      </c>
      <c r="AL65">
        <v>3</v>
      </c>
      <c r="AM65">
        <v>3</v>
      </c>
      <c r="AN65">
        <v>0</v>
      </c>
      <c r="AO65">
        <v>4</v>
      </c>
      <c r="AP65">
        <v>0</v>
      </c>
      <c r="AQ65">
        <v>0</v>
      </c>
      <c r="AR65">
        <v>0</v>
      </c>
    </row>
    <row r="66" spans="1:51" x14ac:dyDescent="0.3">
      <c r="A66" s="22"/>
      <c r="B66" s="22"/>
      <c r="C66" t="s">
        <v>29</v>
      </c>
      <c r="G66" t="s">
        <v>28</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49</v>
      </c>
    </row>
    <row r="67" spans="1:51" x14ac:dyDescent="0.3">
      <c r="A67" s="99"/>
      <c r="B67" s="22" t="s">
        <v>30</v>
      </c>
      <c r="C67" s="22"/>
      <c r="G67" t="s">
        <v>29</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row>
    <row r="68" spans="1:51" x14ac:dyDescent="0.3">
      <c r="F68" t="s">
        <v>30</v>
      </c>
      <c r="H68">
        <v>148</v>
      </c>
      <c r="I68">
        <v>5069</v>
      </c>
      <c r="J68">
        <v>7735</v>
      </c>
      <c r="K68">
        <v>4159</v>
      </c>
      <c r="L68">
        <v>11118</v>
      </c>
      <c r="M68">
        <v>14402</v>
      </c>
      <c r="N68">
        <v>17540</v>
      </c>
      <c r="O68">
        <v>22329</v>
      </c>
      <c r="P68">
        <v>4666</v>
      </c>
      <c r="Q68">
        <v>4118</v>
      </c>
      <c r="R68">
        <v>6499</v>
      </c>
      <c r="S68">
        <v>8054</v>
      </c>
      <c r="T68">
        <v>6161</v>
      </c>
      <c r="U68">
        <v>10377</v>
      </c>
      <c r="V68">
        <v>12956</v>
      </c>
      <c r="W68">
        <v>7548</v>
      </c>
      <c r="X68">
        <v>1720</v>
      </c>
      <c r="Y68">
        <v>4139</v>
      </c>
      <c r="Z68">
        <v>13219</v>
      </c>
      <c r="AA68">
        <v>8041</v>
      </c>
      <c r="AB68">
        <v>18506</v>
      </c>
      <c r="AC68">
        <v>29506</v>
      </c>
      <c r="AD68">
        <v>5511</v>
      </c>
      <c r="AE68">
        <v>16139</v>
      </c>
      <c r="AF68">
        <v>12224</v>
      </c>
      <c r="AG68">
        <v>18776</v>
      </c>
      <c r="AH68">
        <v>41009</v>
      </c>
      <c r="AI68">
        <v>7626</v>
      </c>
      <c r="AJ68">
        <v>1026</v>
      </c>
      <c r="AK68">
        <v>44539</v>
      </c>
      <c r="AL68">
        <v>20477</v>
      </c>
      <c r="AM68">
        <v>54228</v>
      </c>
      <c r="AN68">
        <v>74395</v>
      </c>
      <c r="AO68">
        <v>83634</v>
      </c>
      <c r="AP68">
        <v>26354</v>
      </c>
      <c r="AQ68">
        <v>23507</v>
      </c>
      <c r="AR68">
        <v>97491</v>
      </c>
    </row>
    <row r="72" spans="1:51" x14ac:dyDescent="0.3">
      <c r="AG72" s="7">
        <f>SUM(AF80:AG80)/SUM(AF79:AG80)</f>
        <v>0.10450737224654191</v>
      </c>
    </row>
    <row r="73" spans="1:51" x14ac:dyDescent="0.3">
      <c r="AG73" s="7">
        <f>SUM(AF86:AG86)/SUM(AF85:AG86,AF88:AG88)</f>
        <v>9.5472257160207338E-2</v>
      </c>
    </row>
    <row r="74" spans="1:51" x14ac:dyDescent="0.3">
      <c r="AG74" s="7">
        <f>SUM(AF88:AG88)/SUM(AF85:AG86,AF88:AG88)</f>
        <v>4.4016250368603911E-2</v>
      </c>
    </row>
    <row r="75" spans="1:51" x14ac:dyDescent="0.3">
      <c r="E75" s="66"/>
      <c r="F75" s="66"/>
      <c r="G75" s="66"/>
      <c r="H75" s="67"/>
      <c r="I75" s="67"/>
      <c r="J75" s="67"/>
      <c r="K75" s="67"/>
      <c r="L75" s="67"/>
      <c r="M75" s="67"/>
      <c r="N75" s="67"/>
      <c r="O75" s="67"/>
      <c r="P75" s="67"/>
      <c r="Q75" s="67"/>
      <c r="R75" s="67"/>
      <c r="S75" s="67"/>
      <c r="T75" s="67"/>
      <c r="U75" s="67"/>
      <c r="V75" s="67"/>
      <c r="W75" s="67"/>
      <c r="X75" s="67"/>
      <c r="Y75" s="67"/>
      <c r="Z75" s="67"/>
      <c r="AA75" s="67"/>
    </row>
    <row r="76" spans="1:51" x14ac:dyDescent="0.3">
      <c r="H76" s="9"/>
      <c r="I76" s="9"/>
      <c r="J76" s="9"/>
      <c r="K76" s="9"/>
      <c r="L76" s="181"/>
      <c r="M76" s="181"/>
      <c r="N76" s="181"/>
      <c r="O76" s="181"/>
      <c r="P76" s="181"/>
      <c r="Q76" s="181"/>
      <c r="R76" s="181"/>
      <c r="S76" s="181"/>
      <c r="T76" s="181"/>
      <c r="U76" s="181"/>
      <c r="V76" s="181"/>
      <c r="W76" s="181"/>
      <c r="X76" s="181"/>
      <c r="Y76" s="181"/>
      <c r="Z76" s="181"/>
      <c r="AA76" s="181"/>
      <c r="AB76" s="181"/>
      <c r="AC76" s="181"/>
      <c r="AD76" s="181"/>
      <c r="AE76" s="181"/>
      <c r="AF76" s="181"/>
      <c r="AG76" s="181"/>
      <c r="AH76" s="181"/>
      <c r="AI76" s="181"/>
      <c r="AJ76" s="181"/>
      <c r="AK76" s="181"/>
      <c r="AL76" s="181"/>
      <c r="AM76" s="181"/>
    </row>
    <row r="77" spans="1:51" ht="21" x14ac:dyDescent="0.4">
      <c r="E77" s="48" t="s">
        <v>35</v>
      </c>
      <c r="F77" s="22"/>
      <c r="G77" s="22"/>
      <c r="H77" s="9" t="s">
        <v>36</v>
      </c>
      <c r="I77" s="9" t="s">
        <v>37</v>
      </c>
      <c r="J77" s="9" t="s">
        <v>38</v>
      </c>
      <c r="K77" s="9" t="s">
        <v>39</v>
      </c>
      <c r="L77" s="9" t="s">
        <v>40</v>
      </c>
      <c r="M77" s="9" t="s">
        <v>41</v>
      </c>
      <c r="N77" s="9" t="s">
        <v>42</v>
      </c>
      <c r="O77" s="9" t="s">
        <v>43</v>
      </c>
      <c r="P77" s="9" t="s">
        <v>44</v>
      </c>
      <c r="Q77" s="9" t="s">
        <v>45</v>
      </c>
      <c r="R77" s="9" t="s">
        <v>46</v>
      </c>
      <c r="S77" s="9" t="s">
        <v>47</v>
      </c>
      <c r="T77" s="9" t="s">
        <v>48</v>
      </c>
      <c r="U77" s="9" t="s">
        <v>49</v>
      </c>
      <c r="V77" s="9" t="s">
        <v>50</v>
      </c>
      <c r="W77" s="9" t="s">
        <v>51</v>
      </c>
      <c r="X77" s="9" t="s">
        <v>52</v>
      </c>
      <c r="Y77" s="9" t="s">
        <v>53</v>
      </c>
      <c r="Z77" s="9" t="s">
        <v>54</v>
      </c>
      <c r="AA77" s="9" t="s">
        <v>55</v>
      </c>
      <c r="AB77" s="9" t="s">
        <v>56</v>
      </c>
      <c r="AC77" s="9" t="s">
        <v>57</v>
      </c>
      <c r="AD77" s="9" t="s">
        <v>58</v>
      </c>
      <c r="AE77" s="9" t="s">
        <v>59</v>
      </c>
      <c r="AF77" s="9" t="s">
        <v>60</v>
      </c>
      <c r="AG77" s="9" t="s">
        <v>61</v>
      </c>
      <c r="AH77" s="9" t="s">
        <v>62</v>
      </c>
      <c r="AI77" s="9" t="s">
        <v>63</v>
      </c>
      <c r="AJ77" s="9" t="s">
        <v>64</v>
      </c>
      <c r="AK77" s="9" t="s">
        <v>65</v>
      </c>
      <c r="AL77" s="9" t="s">
        <v>66</v>
      </c>
      <c r="AM77" s="9" t="s">
        <v>67</v>
      </c>
      <c r="AN77" s="9" t="s">
        <v>68</v>
      </c>
      <c r="AO77" s="9" t="s">
        <v>69</v>
      </c>
      <c r="AP77" s="9" t="s">
        <v>70</v>
      </c>
      <c r="AQ77" s="9" t="s">
        <v>71</v>
      </c>
      <c r="AR77" s="9" t="s">
        <v>72</v>
      </c>
      <c r="AS77" s="9" t="s">
        <v>73</v>
      </c>
      <c r="AT77" s="9" t="s">
        <v>74</v>
      </c>
      <c r="AU77" s="9" t="s">
        <v>75</v>
      </c>
      <c r="AV77" s="9" t="s">
        <v>76</v>
      </c>
      <c r="AW77" s="9" t="s">
        <v>77</v>
      </c>
      <c r="AX77" s="9" t="s">
        <v>78</v>
      </c>
      <c r="AY77" s="9" t="s">
        <v>79</v>
      </c>
    </row>
    <row r="78" spans="1:51" x14ac:dyDescent="0.3">
      <c r="F78" s="22" t="s">
        <v>80</v>
      </c>
      <c r="G78" s="22"/>
      <c r="H78" s="35">
        <f t="shared" ref="H78:AY78" si="0">H3</f>
        <v>42370</v>
      </c>
      <c r="I78" s="35">
        <f t="shared" si="0"/>
        <v>42461</v>
      </c>
      <c r="J78" s="35">
        <f t="shared" si="0"/>
        <v>42552</v>
      </c>
      <c r="K78" s="35">
        <f t="shared" si="0"/>
        <v>42644</v>
      </c>
      <c r="L78" s="35">
        <f t="shared" si="0"/>
        <v>42736</v>
      </c>
      <c r="M78" s="35">
        <f t="shared" si="0"/>
        <v>42826</v>
      </c>
      <c r="N78" s="35">
        <f t="shared" si="0"/>
        <v>42917</v>
      </c>
      <c r="O78" s="35">
        <f t="shared" si="0"/>
        <v>43009</v>
      </c>
      <c r="P78" s="35">
        <f t="shared" si="0"/>
        <v>43101</v>
      </c>
      <c r="Q78" s="35">
        <f t="shared" si="0"/>
        <v>43191</v>
      </c>
      <c r="R78" s="35">
        <f t="shared" si="0"/>
        <v>43282</v>
      </c>
      <c r="S78" s="35">
        <f t="shared" si="0"/>
        <v>43374</v>
      </c>
      <c r="T78" s="35">
        <f t="shared" si="0"/>
        <v>43466</v>
      </c>
      <c r="U78" s="35">
        <f t="shared" si="0"/>
        <v>43556</v>
      </c>
      <c r="V78" s="35">
        <f t="shared" si="0"/>
        <v>43647</v>
      </c>
      <c r="W78" s="35">
        <f t="shared" si="0"/>
        <v>43739</v>
      </c>
      <c r="X78" s="35">
        <f t="shared" si="0"/>
        <v>43831</v>
      </c>
      <c r="Y78" s="35">
        <f t="shared" si="0"/>
        <v>43922</v>
      </c>
      <c r="Z78" s="35">
        <f t="shared" si="0"/>
        <v>44013</v>
      </c>
      <c r="AA78" s="35">
        <f t="shared" si="0"/>
        <v>44105</v>
      </c>
      <c r="AB78" s="35">
        <f t="shared" si="0"/>
        <v>44197</v>
      </c>
      <c r="AC78" s="35">
        <f t="shared" si="0"/>
        <v>44287</v>
      </c>
      <c r="AD78" s="35">
        <f t="shared" si="0"/>
        <v>44378</v>
      </c>
      <c r="AE78" s="35">
        <f t="shared" si="0"/>
        <v>44470</v>
      </c>
      <c r="AF78" s="35">
        <f t="shared" si="0"/>
        <v>44562</v>
      </c>
      <c r="AG78" s="35">
        <f t="shared" si="0"/>
        <v>44652</v>
      </c>
      <c r="AH78" s="35">
        <f>AH3</f>
        <v>44743</v>
      </c>
      <c r="AI78" s="35">
        <f t="shared" si="0"/>
        <v>44835</v>
      </c>
      <c r="AJ78" s="35">
        <f t="shared" ref="AJ78" si="1">AJ3</f>
        <v>44927</v>
      </c>
      <c r="AK78" s="35">
        <f t="shared" si="0"/>
        <v>45017</v>
      </c>
      <c r="AL78" s="35">
        <f t="shared" si="0"/>
        <v>45108</v>
      </c>
      <c r="AM78" s="35">
        <f t="shared" si="0"/>
        <v>45200</v>
      </c>
      <c r="AN78" s="35">
        <f t="shared" si="0"/>
        <v>45292</v>
      </c>
      <c r="AO78" s="35">
        <f>AO3</f>
        <v>45383</v>
      </c>
      <c r="AP78" s="35">
        <f t="shared" si="0"/>
        <v>45474</v>
      </c>
      <c r="AQ78" s="35">
        <f t="shared" si="0"/>
        <v>45566</v>
      </c>
      <c r="AR78" s="35">
        <f t="shared" si="0"/>
        <v>45658</v>
      </c>
      <c r="AS78" s="35">
        <f t="shared" si="0"/>
        <v>45748</v>
      </c>
      <c r="AT78" s="35">
        <f t="shared" si="0"/>
        <v>45839</v>
      </c>
      <c r="AU78" s="35">
        <f t="shared" si="0"/>
        <v>45931</v>
      </c>
      <c r="AV78" s="35">
        <f t="shared" si="0"/>
        <v>46023</v>
      </c>
      <c r="AW78" s="35">
        <f t="shared" si="0"/>
        <v>46113</v>
      </c>
      <c r="AX78" s="35">
        <f t="shared" si="0"/>
        <v>46204</v>
      </c>
      <c r="AY78" s="35">
        <f t="shared" si="0"/>
        <v>46296</v>
      </c>
    </row>
    <row r="79" spans="1:51" x14ac:dyDescent="0.3">
      <c r="G79" t="s">
        <v>81</v>
      </c>
      <c r="H79" s="9">
        <f t="shared" ref="H79:AE79" si="2">SUM(H7,0.9*H8)</f>
        <v>381383659.69999999</v>
      </c>
      <c r="I79" s="9">
        <f t="shared" si="2"/>
        <v>328075962.39999998</v>
      </c>
      <c r="J79" s="9">
        <f t="shared" si="2"/>
        <v>379266357.10000002</v>
      </c>
      <c r="K79" s="9">
        <f t="shared" si="2"/>
        <v>336253578.89999998</v>
      </c>
      <c r="L79" s="9">
        <f t="shared" si="2"/>
        <v>277814931.10000002</v>
      </c>
      <c r="M79" s="9">
        <f t="shared" si="2"/>
        <v>368121419.5</v>
      </c>
      <c r="N79" s="9">
        <f t="shared" si="2"/>
        <v>423128254.60000002</v>
      </c>
      <c r="O79" s="9">
        <f t="shared" si="2"/>
        <v>375289359.30000001</v>
      </c>
      <c r="P79" s="9">
        <f t="shared" si="2"/>
        <v>338560172.10000002</v>
      </c>
      <c r="Q79" s="9">
        <f t="shared" si="2"/>
        <v>415067188.10000002</v>
      </c>
      <c r="R79" s="9">
        <f t="shared" si="2"/>
        <v>407057841.69999999</v>
      </c>
      <c r="S79" s="9">
        <f t="shared" si="2"/>
        <v>378806044.89999998</v>
      </c>
      <c r="T79" s="9">
        <f t="shared" si="2"/>
        <v>372500475.80000001</v>
      </c>
      <c r="U79" s="9">
        <f t="shared" si="2"/>
        <v>393914015.39999998</v>
      </c>
      <c r="V79" s="9">
        <f t="shared" si="2"/>
        <v>396707014.10000002</v>
      </c>
      <c r="W79" s="9">
        <f t="shared" si="2"/>
        <v>402290471.80000001</v>
      </c>
      <c r="X79" s="9">
        <f t="shared" si="2"/>
        <v>326645652.5</v>
      </c>
      <c r="Y79" s="9">
        <f t="shared" si="2"/>
        <v>252593358.80000001</v>
      </c>
      <c r="Z79" s="9">
        <f t="shared" si="2"/>
        <v>379902148.10000002</v>
      </c>
      <c r="AA79" s="9">
        <f t="shared" si="2"/>
        <v>306614127</v>
      </c>
      <c r="AB79" s="9">
        <f t="shared" si="2"/>
        <v>327855683.30000001</v>
      </c>
      <c r="AC79" s="9">
        <f t="shared" si="2"/>
        <v>321566347.19999999</v>
      </c>
      <c r="AD79" s="9">
        <f t="shared" si="2"/>
        <v>379632664.19999999</v>
      </c>
      <c r="AE79" s="9">
        <f t="shared" si="2"/>
        <v>320400150</v>
      </c>
      <c r="AF79" s="9">
        <f t="shared" ref="AF79:AK79" si="3">SUM(AF7,0.9*AF8)</f>
        <v>315601343.80000001</v>
      </c>
      <c r="AG79" s="9">
        <f t="shared" si="3"/>
        <v>328785541.60000002</v>
      </c>
      <c r="AH79" s="9">
        <f t="shared" si="3"/>
        <v>354659188.89999998</v>
      </c>
      <c r="AI79" s="9">
        <f t="shared" si="3"/>
        <v>360188866.69999999</v>
      </c>
      <c r="AJ79" s="9">
        <f t="shared" si="3"/>
        <v>306043643.39999998</v>
      </c>
      <c r="AK79" s="9">
        <f t="shared" si="3"/>
        <v>318093297.69999999</v>
      </c>
      <c r="AL79" s="9">
        <f t="shared" ref="AL79:AM79" si="4">SUM(AL7,0.9*AL8)</f>
        <v>370054688.60000002</v>
      </c>
      <c r="AM79" s="9">
        <f t="shared" si="4"/>
        <v>331201655.69999999</v>
      </c>
      <c r="AN79" s="9">
        <f t="shared" ref="AN79:AO79" si="5">SUM(AN7,0.9*AN8)</f>
        <v>321182711.89999998</v>
      </c>
      <c r="AO79" s="9">
        <f t="shared" si="5"/>
        <v>363548583.89999998</v>
      </c>
      <c r="AP79" s="9">
        <f t="shared" ref="AP79:AQ79" si="6">SUM(AP7,0.9*AP8)</f>
        <v>331015015.30000001</v>
      </c>
      <c r="AQ79" s="9">
        <f t="shared" si="6"/>
        <v>336104318.5</v>
      </c>
      <c r="AR79" s="9">
        <f t="shared" ref="AR79" si="7">SUM(AR7,0.9*AR8)</f>
        <v>321303735.80000001</v>
      </c>
      <c r="AS79" s="9">
        <f>AS82-AS80</f>
        <v>363265108.77080154</v>
      </c>
      <c r="AT79" s="9">
        <f>AT82-AT80</f>
        <v>338566485.04742372</v>
      </c>
      <c r="AU79" s="9">
        <f>AU82-AU80</f>
        <v>337034803.62303877</v>
      </c>
      <c r="AV79" s="9">
        <f t="shared" ref="AV79:AY79" si="8">AV82-AV80</f>
        <v>315909721.41543424</v>
      </c>
      <c r="AW79" s="9">
        <f t="shared" si="8"/>
        <v>359782212.09940344</v>
      </c>
      <c r="AX79" s="9">
        <f t="shared" si="8"/>
        <v>333317188.61598533</v>
      </c>
      <c r="AY79" s="9">
        <f t="shared" si="8"/>
        <v>330474709.02992678</v>
      </c>
    </row>
    <row r="80" spans="1:51" x14ac:dyDescent="0.3">
      <c r="G80" t="s">
        <v>82</v>
      </c>
      <c r="H80" s="9">
        <f t="shared" ref="H80:AE80" si="9">SUM(0.1*H8,H16:H19)</f>
        <v>50904982.299999997</v>
      </c>
      <c r="I80" s="9">
        <f t="shared" si="9"/>
        <v>41169772.600000001</v>
      </c>
      <c r="J80" s="9">
        <f t="shared" si="9"/>
        <v>46844753.899999999</v>
      </c>
      <c r="K80" s="9">
        <f t="shared" si="9"/>
        <v>38687842.100000001</v>
      </c>
      <c r="L80" s="9">
        <f t="shared" si="9"/>
        <v>39795000.899999999</v>
      </c>
      <c r="M80" s="9">
        <f t="shared" si="9"/>
        <v>42848673.5</v>
      </c>
      <c r="N80" s="9">
        <f t="shared" si="9"/>
        <v>49152301.399999999</v>
      </c>
      <c r="O80" s="9">
        <f t="shared" si="9"/>
        <v>42482357.700000003</v>
      </c>
      <c r="P80" s="9">
        <f t="shared" si="9"/>
        <v>41973456.899999999</v>
      </c>
      <c r="Q80" s="9">
        <f t="shared" si="9"/>
        <v>40297504.899999999</v>
      </c>
      <c r="R80" s="9">
        <f t="shared" si="9"/>
        <v>46877337.299999997</v>
      </c>
      <c r="S80" s="9">
        <f t="shared" si="9"/>
        <v>43494023.100000001</v>
      </c>
      <c r="T80" s="9">
        <f t="shared" si="9"/>
        <v>38612516.200000003</v>
      </c>
      <c r="U80" s="9">
        <f t="shared" si="9"/>
        <v>44486189.600000001</v>
      </c>
      <c r="V80" s="9">
        <f t="shared" si="9"/>
        <v>47299348.899999999</v>
      </c>
      <c r="W80" s="9">
        <f t="shared" si="9"/>
        <v>43634242.200000003</v>
      </c>
      <c r="X80" s="9">
        <f t="shared" si="9"/>
        <v>36182089.5</v>
      </c>
      <c r="Y80" s="9">
        <f t="shared" si="9"/>
        <v>32346429.199999999</v>
      </c>
      <c r="Z80" s="9">
        <f t="shared" si="9"/>
        <v>39124094.899999999</v>
      </c>
      <c r="AA80" s="9">
        <f t="shared" si="9"/>
        <v>34133979</v>
      </c>
      <c r="AB80" s="9">
        <f t="shared" si="9"/>
        <v>31327502.699999999</v>
      </c>
      <c r="AC80" s="9">
        <f t="shared" si="9"/>
        <v>43624053.799999997</v>
      </c>
      <c r="AD80" s="9">
        <f t="shared" si="9"/>
        <v>43993074.799999997</v>
      </c>
      <c r="AE80" s="9">
        <f t="shared" si="9"/>
        <v>37792888</v>
      </c>
      <c r="AF80" s="9">
        <f t="shared" ref="AF80:AK80" si="10">SUM(0.1*AF8,AF16:AF19)</f>
        <v>34402289.200000003</v>
      </c>
      <c r="AG80" s="9">
        <f t="shared" si="10"/>
        <v>40800094.399999999</v>
      </c>
      <c r="AH80" s="9">
        <f t="shared" si="10"/>
        <v>40528693.100000001</v>
      </c>
      <c r="AI80" s="9">
        <f t="shared" si="10"/>
        <v>33875243.299999997</v>
      </c>
      <c r="AJ80" s="9">
        <f t="shared" si="10"/>
        <v>37093421.600000001</v>
      </c>
      <c r="AK80" s="9">
        <f t="shared" si="10"/>
        <v>38807948.299999997</v>
      </c>
      <c r="AL80" s="9">
        <f t="shared" ref="AL80:AM80" si="11">SUM(0.1*AL8,AL16:AL19)</f>
        <v>40017331.399999999</v>
      </c>
      <c r="AM80" s="9">
        <f t="shared" si="11"/>
        <v>38857720.299999997</v>
      </c>
      <c r="AN80" s="9">
        <f t="shared" ref="AN80:AO80" si="12">SUM(0.1*AN8,AN16:AN19)</f>
        <v>32292849.100000001</v>
      </c>
      <c r="AO80" s="9">
        <f t="shared" si="12"/>
        <v>38642300.100000001</v>
      </c>
      <c r="AP80" s="9">
        <f t="shared" ref="AP80:AQ80" si="13">SUM(0.1*AP8,AP16:AP19)</f>
        <v>43052614.700000003</v>
      </c>
      <c r="AQ80" s="9">
        <f t="shared" si="13"/>
        <v>36008962.5</v>
      </c>
      <c r="AR80" s="9">
        <f t="shared" ref="AR80" si="14">SUM(0.1*AR8,AR16:AR19)</f>
        <v>34128862.200000003</v>
      </c>
      <c r="AS80" s="9">
        <f>AS82*AS81</f>
        <v>41261738.412719101</v>
      </c>
      <c r="AT80" s="9">
        <f>AT82*AT81</f>
        <v>38456326.809395567</v>
      </c>
      <c r="AU80" s="9">
        <f>AU82*AU81</f>
        <v>38282349.632015534</v>
      </c>
      <c r="AV80" s="9">
        <f t="shared" ref="AV80:AY80" si="15">AV82*AV81</f>
        <v>35882841.407989189</v>
      </c>
      <c r="AW80" s="9">
        <f t="shared" si="15"/>
        <v>40866130.995700613</v>
      </c>
      <c r="AX80" s="9">
        <f t="shared" si="15"/>
        <v>37860081.557717703</v>
      </c>
      <c r="AY80" s="9">
        <f t="shared" si="15"/>
        <v>37537216.393154263</v>
      </c>
    </row>
    <row r="81" spans="7:51" x14ac:dyDescent="0.3">
      <c r="G81" s="16" t="s">
        <v>83</v>
      </c>
      <c r="H81" s="36">
        <f>H80/H82</f>
        <v>0.11775692755767568</v>
      </c>
      <c r="I81" s="36">
        <f t="shared" ref="I81:V81" si="16">I80/I82</f>
        <v>0.11149694823150767</v>
      </c>
      <c r="J81" s="36">
        <f t="shared" si="16"/>
        <v>0.10993553721249949</v>
      </c>
      <c r="K81" s="36">
        <f t="shared" si="16"/>
        <v>0.10318369732748199</v>
      </c>
      <c r="L81" s="36">
        <f t="shared" si="16"/>
        <v>0.12529520298502503</v>
      </c>
      <c r="M81" s="36">
        <f t="shared" si="16"/>
        <v>0.10426226684091097</v>
      </c>
      <c r="N81" s="36">
        <f t="shared" si="16"/>
        <v>0.10407437015044083</v>
      </c>
      <c r="O81" s="36">
        <f t="shared" si="16"/>
        <v>0.10168796970044768</v>
      </c>
      <c r="P81" s="36">
        <f t="shared" si="16"/>
        <v>0.11030157048222405</v>
      </c>
      <c r="Q81" s="36">
        <f t="shared" si="16"/>
        <v>8.8495014039219763E-2</v>
      </c>
      <c r="R81" s="36">
        <f t="shared" si="16"/>
        <v>0.10326879137957272</v>
      </c>
      <c r="S81" s="36">
        <f t="shared" si="16"/>
        <v>0.1029931709601335</v>
      </c>
      <c r="T81" s="36">
        <f t="shared" si="16"/>
        <v>9.3921906997286045E-2</v>
      </c>
      <c r="U81" s="36">
        <f t="shared" si="16"/>
        <v>0.10147392517756693</v>
      </c>
      <c r="V81" s="36">
        <f t="shared" si="16"/>
        <v>0.10652853842096853</v>
      </c>
      <c r="W81" s="36">
        <f t="shared" ref="W81:AE81" si="17">W80/W82</f>
        <v>9.7851141302744665E-2</v>
      </c>
      <c r="X81" s="36">
        <f t="shared" si="17"/>
        <v>9.972249999560398E-2</v>
      </c>
      <c r="Y81" s="36">
        <f t="shared" si="17"/>
        <v>0.11352022624513218</v>
      </c>
      <c r="Z81" s="36">
        <f t="shared" si="17"/>
        <v>9.3369080227273499E-2</v>
      </c>
      <c r="AA81" s="36">
        <f t="shared" si="17"/>
        <v>0.10017364263794323</v>
      </c>
      <c r="AB81" s="84">
        <f t="shared" si="17"/>
        <v>8.7218733841288434E-2</v>
      </c>
      <c r="AC81" s="84">
        <f t="shared" si="17"/>
        <v>0.11945564198988899</v>
      </c>
      <c r="AD81" s="84">
        <f t="shared" si="17"/>
        <v>0.10384891839633946</v>
      </c>
      <c r="AE81" s="84">
        <f t="shared" si="17"/>
        <v>0.10550983405769042</v>
      </c>
      <c r="AF81" s="84">
        <f t="shared" ref="AF81:AK81" si="18">AF80/AF82</f>
        <v>9.829123459412778E-2</v>
      </c>
      <c r="AG81" s="84">
        <f t="shared" si="18"/>
        <v>0.11039415611920589</v>
      </c>
      <c r="AH81" s="84">
        <f t="shared" si="18"/>
        <v>0.10255550573790115</v>
      </c>
      <c r="AI81" s="84">
        <f t="shared" si="18"/>
        <v>8.5963787212187365E-2</v>
      </c>
      <c r="AJ81" s="84">
        <f t="shared" si="18"/>
        <v>0.10810088848897743</v>
      </c>
      <c r="AK81" s="84">
        <f t="shared" si="18"/>
        <v>0.10873581623752582</v>
      </c>
      <c r="AL81" s="84">
        <f t="shared" ref="AL81:AM81" si="19">AL80/AL82</f>
        <v>9.7586105484592678E-2</v>
      </c>
      <c r="AM81" s="84">
        <f t="shared" si="19"/>
        <v>0.10500401508540617</v>
      </c>
      <c r="AN81" s="84">
        <f t="shared" ref="AN81:AO81" si="20">AN80/AN82</f>
        <v>9.1358081471437286E-2</v>
      </c>
      <c r="AO81" s="84">
        <f t="shared" si="20"/>
        <v>9.6079502637359634E-2</v>
      </c>
      <c r="AP81" s="84">
        <f t="shared" ref="AP81:AQ81" si="21">AP80/AP82</f>
        <v>0.11509313088651911</v>
      </c>
      <c r="AQ81" s="84">
        <f t="shared" si="21"/>
        <v>9.6768818364212056E-2</v>
      </c>
      <c r="AR81" s="84">
        <f t="shared" ref="AR81" si="22">AR80/AR82</f>
        <v>9.602063061193955E-2</v>
      </c>
      <c r="AS81" s="84">
        <f>+BR_eth_T1</f>
        <v>0.10199999999999999</v>
      </c>
      <c r="AT81" s="84">
        <f>+BR_eth_T1</f>
        <v>0.10199999999999999</v>
      </c>
      <c r="AU81" s="84">
        <f>+BR_eth_T1</f>
        <v>0.10199999999999999</v>
      </c>
      <c r="AV81" s="84">
        <f t="shared" ref="AV81:AY81" si="23">+BR_eth_T0</f>
        <v>0.10199999999999999</v>
      </c>
      <c r="AW81" s="84">
        <f t="shared" si="23"/>
        <v>0.10199999999999999</v>
      </c>
      <c r="AX81" s="84">
        <f t="shared" si="23"/>
        <v>0.10199999999999999</v>
      </c>
      <c r="AY81" s="84">
        <f t="shared" si="23"/>
        <v>0.10199999999999999</v>
      </c>
    </row>
    <row r="82" spans="7:51" ht="15" thickBot="1" x14ac:dyDescent="0.35">
      <c r="G82" s="20" t="s">
        <v>84</v>
      </c>
      <c r="H82" s="37">
        <f>SUM(H79:H80)</f>
        <v>432288642</v>
      </c>
      <c r="I82" s="37">
        <f t="shared" ref="I82:V82" si="24">SUM(I79:I80)</f>
        <v>369245735</v>
      </c>
      <c r="J82" s="37">
        <f t="shared" si="24"/>
        <v>426111111</v>
      </c>
      <c r="K82" s="37">
        <f t="shared" si="24"/>
        <v>374941421</v>
      </c>
      <c r="L82" s="37">
        <f t="shared" si="24"/>
        <v>317609932</v>
      </c>
      <c r="M82" s="37">
        <f t="shared" si="24"/>
        <v>410970093</v>
      </c>
      <c r="N82" s="37">
        <f t="shared" si="24"/>
        <v>472280556</v>
      </c>
      <c r="O82" s="37">
        <f t="shared" si="24"/>
        <v>417771717</v>
      </c>
      <c r="P82" s="37">
        <f t="shared" si="24"/>
        <v>380533629</v>
      </c>
      <c r="Q82" s="37">
        <f t="shared" si="24"/>
        <v>455364693</v>
      </c>
      <c r="R82" s="37">
        <f t="shared" si="24"/>
        <v>453935179</v>
      </c>
      <c r="S82" s="37">
        <f t="shared" si="24"/>
        <v>422300068</v>
      </c>
      <c r="T82" s="37">
        <f t="shared" si="24"/>
        <v>411112992</v>
      </c>
      <c r="U82" s="37">
        <f t="shared" si="24"/>
        <v>438400205</v>
      </c>
      <c r="V82" s="37">
        <f t="shared" si="24"/>
        <v>444006363</v>
      </c>
      <c r="W82" s="37">
        <f t="shared" ref="W82:AE82" si="25">SUM(W79:W80)</f>
        <v>445924714</v>
      </c>
      <c r="X82" s="37">
        <f t="shared" si="25"/>
        <v>362827742</v>
      </c>
      <c r="Y82" s="37">
        <f t="shared" si="25"/>
        <v>284939788</v>
      </c>
      <c r="Z82" s="37">
        <f t="shared" si="25"/>
        <v>419026243</v>
      </c>
      <c r="AA82" s="37">
        <f t="shared" si="25"/>
        <v>340748106</v>
      </c>
      <c r="AB82" s="37">
        <f t="shared" si="25"/>
        <v>359183186</v>
      </c>
      <c r="AC82" s="37">
        <f t="shared" si="25"/>
        <v>365190401</v>
      </c>
      <c r="AD82" s="37">
        <f t="shared" si="25"/>
        <v>423625739</v>
      </c>
      <c r="AE82" s="37">
        <f t="shared" si="25"/>
        <v>358193038</v>
      </c>
      <c r="AF82" s="37">
        <f t="shared" ref="AF82:AK82" si="26">SUM(AF79:AF80)</f>
        <v>350003633</v>
      </c>
      <c r="AG82" s="37">
        <f t="shared" si="26"/>
        <v>369585636</v>
      </c>
      <c r="AH82" s="37">
        <f t="shared" si="26"/>
        <v>395187882</v>
      </c>
      <c r="AI82" s="37">
        <f t="shared" si="26"/>
        <v>394064110</v>
      </c>
      <c r="AJ82" s="37">
        <f t="shared" si="26"/>
        <v>343137065</v>
      </c>
      <c r="AK82" s="37">
        <f t="shared" si="26"/>
        <v>356901246</v>
      </c>
      <c r="AL82" s="37">
        <f t="shared" ref="AL82:AM82" si="27">SUM(AL79:AL80)</f>
        <v>410072020</v>
      </c>
      <c r="AM82" s="37">
        <f t="shared" si="27"/>
        <v>370059376</v>
      </c>
      <c r="AN82" s="37">
        <f t="shared" ref="AN82:AO82" si="28">SUM(AN79:AN80)</f>
        <v>353475561</v>
      </c>
      <c r="AO82" s="37">
        <f t="shared" si="28"/>
        <v>402190884</v>
      </c>
      <c r="AP82" s="37">
        <f t="shared" ref="AP82:AQ82" si="29">SUM(AP79:AP80)</f>
        <v>374067630</v>
      </c>
      <c r="AQ82" s="37">
        <f t="shared" si="29"/>
        <v>372113281</v>
      </c>
      <c r="AR82" s="37">
        <f t="shared" ref="AR82" si="30">SUM(AR79:AR80)</f>
        <v>355432598</v>
      </c>
      <c r="AS82" s="68">
        <f t="shared" ref="AS82:AV82" si="31">AO82*(1+AS83)</f>
        <v>404526847.18352062</v>
      </c>
      <c r="AT82" s="68">
        <f t="shared" si="31"/>
        <v>377022811.85681927</v>
      </c>
      <c r="AU82" s="68">
        <f t="shared" si="31"/>
        <v>375317153.2550543</v>
      </c>
      <c r="AV82" s="68">
        <f t="shared" si="31"/>
        <v>351792562.82342345</v>
      </c>
      <c r="AW82" s="68">
        <f t="shared" ref="AW82" si="32">AS82*(1+AW83)</f>
        <v>400648343.09510404</v>
      </c>
      <c r="AX82" s="68">
        <f t="shared" ref="AX82" si="33">AT82*(1+AX83)</f>
        <v>371177270.17370301</v>
      </c>
      <c r="AY82" s="68">
        <f t="shared" ref="AY82" si="34">AU82*(1+AY83)</f>
        <v>368011925.42308104</v>
      </c>
    </row>
    <row r="83" spans="7:51" x14ac:dyDescent="0.3">
      <c r="G83" s="69" t="s">
        <v>85</v>
      </c>
      <c r="H83" s="70"/>
      <c r="I83" s="70"/>
      <c r="J83" s="70"/>
      <c r="K83" s="70"/>
      <c r="L83" s="71">
        <f t="shared" ref="L83:W83" si="35">L82/H82-1</f>
        <v>-0.26528272746060255</v>
      </c>
      <c r="M83" s="71">
        <f t="shared" si="35"/>
        <v>0.11299888947938697</v>
      </c>
      <c r="N83" s="71">
        <f t="shared" si="35"/>
        <v>0.10835071841156463</v>
      </c>
      <c r="O83" s="71">
        <f t="shared" si="35"/>
        <v>0.11423196691837356</v>
      </c>
      <c r="P83" s="71">
        <f t="shared" si="35"/>
        <v>0.19811627616229588</v>
      </c>
      <c r="Q83" s="71">
        <f t="shared" si="35"/>
        <v>0.1080239189083767</v>
      </c>
      <c r="R83" s="71">
        <f t="shared" si="35"/>
        <v>-3.8844235204974265E-2</v>
      </c>
      <c r="S83" s="71">
        <f t="shared" si="35"/>
        <v>1.0839295279531758E-2</v>
      </c>
      <c r="T83" s="71">
        <f t="shared" si="35"/>
        <v>8.0359160582887723E-2</v>
      </c>
      <c r="U83" s="71">
        <f t="shared" si="35"/>
        <v>-3.7254728486382671E-2</v>
      </c>
      <c r="V83" s="71">
        <f t="shared" si="35"/>
        <v>-2.1872761705476917E-2</v>
      </c>
      <c r="W83" s="71">
        <f t="shared" si="35"/>
        <v>5.5942794685981401E-2</v>
      </c>
      <c r="X83" s="71">
        <f t="shared" ref="X83:AK83" si="36">X82/T82-1</f>
        <v>-0.11745007075816272</v>
      </c>
      <c r="Y83" s="71">
        <f t="shared" si="36"/>
        <v>-0.35004640793906561</v>
      </c>
      <c r="Z83" s="71">
        <f t="shared" si="36"/>
        <v>-5.6260725254516197E-2</v>
      </c>
      <c r="AA83" s="71">
        <f t="shared" si="36"/>
        <v>-0.23586180513870325</v>
      </c>
      <c r="AB83" s="71">
        <f t="shared" si="36"/>
        <v>-1.0044865863647168E-2</v>
      </c>
      <c r="AC83" s="71">
        <f t="shared" si="36"/>
        <v>0.28164060050469319</v>
      </c>
      <c r="AD83" s="71">
        <f t="shared" si="36"/>
        <v>1.0976629929118742E-2</v>
      </c>
      <c r="AE83" s="71">
        <f t="shared" si="36"/>
        <v>5.1195976420188805E-2</v>
      </c>
      <c r="AF83" s="71">
        <f t="shared" si="36"/>
        <v>-2.5556744741386694E-2</v>
      </c>
      <c r="AG83" s="71">
        <f t="shared" si="36"/>
        <v>1.2035461468769437E-2</v>
      </c>
      <c r="AH83" s="71">
        <f t="shared" si="36"/>
        <v>-6.7129672212858593E-2</v>
      </c>
      <c r="AI83" s="71">
        <f t="shared" si="36"/>
        <v>0.10014452598042967</v>
      </c>
      <c r="AJ83" s="71">
        <f t="shared" si="36"/>
        <v>-1.9618562073611345E-2</v>
      </c>
      <c r="AK83" s="71">
        <f t="shared" si="36"/>
        <v>-3.4320570835171704E-2</v>
      </c>
      <c r="AL83" s="71">
        <f t="shared" ref="AL83" si="37">AL82/AH82-1</f>
        <v>3.7663447382731308E-2</v>
      </c>
      <c r="AM83" s="71">
        <f t="shared" ref="AM83" si="38">AM82/AI82-1</f>
        <v>-6.0915808851508935E-2</v>
      </c>
      <c r="AN83" s="71">
        <f t="shared" ref="AN83" si="39">AN82/AJ82-1</f>
        <v>3.0129347874441992E-2</v>
      </c>
      <c r="AO83" s="71">
        <f t="shared" ref="AO83" si="40">AO82/AK82-1</f>
        <v>0.12689683352912695</v>
      </c>
      <c r="AP83" s="71">
        <f t="shared" ref="AP83:AR83" si="41">AP82/AL82-1</f>
        <v>-8.7800162517793878E-2</v>
      </c>
      <c r="AQ83" s="71">
        <f t="shared" si="41"/>
        <v>5.5502039218700006E-3</v>
      </c>
      <c r="AR83" s="71">
        <f t="shared" si="41"/>
        <v>5.5365553263808653E-3</v>
      </c>
      <c r="AS83" s="196">
        <f>+'[1]Quarterly Work'!$J$40</f>
        <v>5.8080957984134596E-3</v>
      </c>
      <c r="AT83" s="196">
        <f>+'[1]Quarterly Work'!$J$41</f>
        <v>7.9001271957674923E-3</v>
      </c>
      <c r="AU83" s="196">
        <f>+'[1]Quarterly Work'!$J$42</f>
        <v>8.6099379372979179E-3</v>
      </c>
      <c r="AV83" s="196">
        <f>+'[1]Quarterly Work'!$J$43</f>
        <v>-1.0241140506129232E-2</v>
      </c>
      <c r="AW83" s="196">
        <f>+'[1]Quarterly Work'!$J$44</f>
        <v>-9.5877544727137609E-3</v>
      </c>
      <c r="AX83" s="196">
        <f>+'[1]Quarterly Work'!$J$45</f>
        <v>-1.5504477446145137E-2</v>
      </c>
      <c r="AY83" s="196">
        <f>+'[1]Quarterly Work'!$J$46</f>
        <v>-1.9464145905979446E-2</v>
      </c>
    </row>
    <row r="84" spans="7:51" x14ac:dyDescent="0.3">
      <c r="G84" s="16"/>
      <c r="H84" s="9"/>
      <c r="I84" s="9"/>
      <c r="J84" s="9"/>
      <c r="K84" s="9"/>
      <c r="L84" s="25"/>
      <c r="M84" s="25"/>
      <c r="N84" s="25"/>
      <c r="O84" s="25"/>
      <c r="P84" s="25"/>
      <c r="Q84" s="25"/>
      <c r="R84" s="25"/>
      <c r="S84" s="25"/>
      <c r="T84" s="25"/>
      <c r="U84" s="25"/>
      <c r="V84" s="25"/>
      <c r="W84" s="25"/>
    </row>
    <row r="85" spans="7:51" x14ac:dyDescent="0.3">
      <c r="G85" t="s">
        <v>86</v>
      </c>
      <c r="H85" s="9">
        <f t="shared" ref="H85:AE85" si="42">SUM(H4,0.8*H5,0.95*H6)</f>
        <v>200546412.40000001</v>
      </c>
      <c r="I85" s="9">
        <f t="shared" si="42"/>
        <v>158442194</v>
      </c>
      <c r="J85" s="9">
        <f t="shared" si="42"/>
        <v>184357269.94999999</v>
      </c>
      <c r="K85" s="9">
        <f t="shared" si="42"/>
        <v>165547124.84999999</v>
      </c>
      <c r="L85" s="9">
        <f t="shared" si="42"/>
        <v>140610590</v>
      </c>
      <c r="M85" s="9">
        <f t="shared" si="42"/>
        <v>185101028.80000001</v>
      </c>
      <c r="N85" s="9">
        <f t="shared" si="42"/>
        <v>193155530.75</v>
      </c>
      <c r="O85" s="9">
        <f t="shared" si="42"/>
        <v>163876928.19999999</v>
      </c>
      <c r="P85" s="9">
        <f t="shared" si="42"/>
        <v>161928057.75</v>
      </c>
      <c r="Q85" s="9">
        <f t="shared" si="42"/>
        <v>181644437.69999999</v>
      </c>
      <c r="R85" s="9">
        <f t="shared" si="42"/>
        <v>204800544.40000001</v>
      </c>
      <c r="S85" s="9">
        <f t="shared" si="42"/>
        <v>168174070.40000001</v>
      </c>
      <c r="T85" s="9">
        <f t="shared" si="42"/>
        <v>174790251.40000001</v>
      </c>
      <c r="U85" s="9">
        <f t="shared" si="42"/>
        <v>169817565.84999999</v>
      </c>
      <c r="V85" s="9">
        <f t="shared" si="42"/>
        <v>191951959.25</v>
      </c>
      <c r="W85" s="9">
        <f t="shared" si="42"/>
        <v>183194227.59999999</v>
      </c>
      <c r="X85" s="9">
        <f t="shared" si="42"/>
        <v>141353594.59999999</v>
      </c>
      <c r="Y85" s="9">
        <f t="shared" si="42"/>
        <v>178737100.59999999</v>
      </c>
      <c r="Z85" s="9">
        <f t="shared" si="42"/>
        <v>170267034.94999999</v>
      </c>
      <c r="AA85" s="9">
        <f t="shared" si="42"/>
        <v>173448936.25</v>
      </c>
      <c r="AB85" s="9">
        <f t="shared" si="42"/>
        <v>182402200.34999999</v>
      </c>
      <c r="AC85" s="9">
        <f t="shared" si="42"/>
        <v>183691857.59999999</v>
      </c>
      <c r="AD85" s="9">
        <f t="shared" si="42"/>
        <v>201033979.90000001</v>
      </c>
      <c r="AE85" s="9">
        <f t="shared" si="42"/>
        <v>168346070.79999998</v>
      </c>
      <c r="AF85" s="9">
        <f t="shared" ref="AF85:AK85" si="43">SUM(AF4,0.8*AF5,0.95*AF6)</f>
        <v>197844583.04999998</v>
      </c>
      <c r="AG85" s="9">
        <f t="shared" si="43"/>
        <v>177172619.14999998</v>
      </c>
      <c r="AH85" s="9">
        <f t="shared" si="43"/>
        <v>193977665.04999998</v>
      </c>
      <c r="AI85" s="9">
        <f t="shared" si="43"/>
        <v>186248140.09999999</v>
      </c>
      <c r="AJ85" s="9">
        <f t="shared" si="43"/>
        <v>150571439.5</v>
      </c>
      <c r="AK85" s="9">
        <f t="shared" si="43"/>
        <v>139227667.90000001</v>
      </c>
      <c r="AL85" s="9">
        <f t="shared" ref="AL85:AM85" si="44">SUM(AL4,0.8*AL5,0.95*AL6)</f>
        <v>163921471.59999999</v>
      </c>
      <c r="AM85" s="9">
        <f t="shared" si="44"/>
        <v>135201421.15000001</v>
      </c>
      <c r="AN85" s="9">
        <f t="shared" ref="AN85:AP85" si="45">SUM(AN4,0.8*AN5,0.95*AN6)</f>
        <v>121986907.3</v>
      </c>
      <c r="AO85" s="9">
        <f t="shared" si="45"/>
        <v>123163021.30000001</v>
      </c>
      <c r="AP85" s="9">
        <f t="shared" si="45"/>
        <v>161020607.29999998</v>
      </c>
      <c r="AQ85" s="9">
        <f t="shared" ref="AQ85:AR85" si="46">SUM(AQ4,0.8*AQ5,0.95*AQ6)</f>
        <v>175749037.90000001</v>
      </c>
      <c r="AR85" s="9">
        <f t="shared" si="46"/>
        <v>134231731.70000002</v>
      </c>
      <c r="AS85" s="9">
        <f t="shared" ref="AS85:AU85" si="47">AS90-SUM(AS86,AS88)</f>
        <v>130270056.10167551</v>
      </c>
      <c r="AT85" s="9">
        <f t="shared" si="47"/>
        <v>150564998.41184545</v>
      </c>
      <c r="AU85" s="9">
        <f t="shared" si="47"/>
        <v>159213708.32294858</v>
      </c>
      <c r="AV85" s="9">
        <f t="shared" ref="AV85:AY85" si="48">AV90-SUM(AV86,AV88)</f>
        <v>100272432.40506962</v>
      </c>
      <c r="AW85" s="9">
        <f t="shared" si="48"/>
        <v>118724344.49445996</v>
      </c>
      <c r="AX85" s="9">
        <f t="shared" si="48"/>
        <v>137681382.92375189</v>
      </c>
      <c r="AY85" s="9">
        <f t="shared" si="48"/>
        <v>145715300.92461133</v>
      </c>
    </row>
    <row r="86" spans="7:51" x14ac:dyDescent="0.3">
      <c r="G86" t="s">
        <v>18</v>
      </c>
      <c r="H86" s="9">
        <f t="shared" ref="H86:AE86" si="49">SUM(H12,H5*0.2*(H12/SUM(H12:H13)),H6*0.05*(H12/SUM(H12:H13)))</f>
        <v>11867430.6</v>
      </c>
      <c r="I86" s="9">
        <f t="shared" si="49"/>
        <v>11165820</v>
      </c>
      <c r="J86" s="9">
        <f t="shared" si="49"/>
        <v>13012715.050000001</v>
      </c>
      <c r="K86" s="9">
        <f t="shared" si="49"/>
        <v>11489107.15</v>
      </c>
      <c r="L86" s="9">
        <f t="shared" si="49"/>
        <v>9104597</v>
      </c>
      <c r="M86" s="9">
        <f t="shared" si="49"/>
        <v>13400125.199999999</v>
      </c>
      <c r="N86" s="9">
        <f t="shared" si="49"/>
        <v>14471281.25</v>
      </c>
      <c r="O86" s="9">
        <f t="shared" si="49"/>
        <v>14210435.268036803</v>
      </c>
      <c r="P86" s="9">
        <f t="shared" si="49"/>
        <v>10794217.172234204</v>
      </c>
      <c r="Q86" s="9">
        <f t="shared" si="49"/>
        <v>13063387.418674303</v>
      </c>
      <c r="R86" s="9">
        <f t="shared" si="49"/>
        <v>14749408.915234635</v>
      </c>
      <c r="S86" s="9">
        <f t="shared" si="49"/>
        <v>13034116.418898588</v>
      </c>
      <c r="T86" s="9">
        <f t="shared" si="49"/>
        <v>11315967.817921368</v>
      </c>
      <c r="U86" s="9">
        <f t="shared" si="49"/>
        <v>16520225.203099381</v>
      </c>
      <c r="V86" s="9">
        <f t="shared" si="49"/>
        <v>16949908.901677188</v>
      </c>
      <c r="W86" s="9">
        <f t="shared" si="49"/>
        <v>15297240.151916169</v>
      </c>
      <c r="X86" s="9">
        <f t="shared" si="49"/>
        <v>15366280.400295956</v>
      </c>
      <c r="Y86" s="9">
        <f t="shared" si="49"/>
        <v>16219609.58207687</v>
      </c>
      <c r="Z86" s="9">
        <f t="shared" si="49"/>
        <v>18269424.876061976</v>
      </c>
      <c r="AA86" s="9">
        <f t="shared" si="49"/>
        <v>18663527.521270078</v>
      </c>
      <c r="AB86" s="9">
        <f t="shared" si="49"/>
        <v>15171766.888480972</v>
      </c>
      <c r="AC86" s="9">
        <f t="shared" si="49"/>
        <v>20217657.820243858</v>
      </c>
      <c r="AD86" s="9">
        <f t="shared" si="49"/>
        <v>21020252.794417512</v>
      </c>
      <c r="AE86" s="9">
        <f t="shared" si="49"/>
        <v>19411239.798757423</v>
      </c>
      <c r="AF86" s="9">
        <f t="shared" ref="AF86:AK86" si="50">SUM(AF12,AF5*0.2*(AF12/SUM(AF12:AF13)),AF6*0.05*(AF12/SUM(AF12:AF13)))</f>
        <v>17768834.717952311</v>
      </c>
      <c r="AG86" s="9">
        <f t="shared" si="50"/>
        <v>23838673.236554913</v>
      </c>
      <c r="AH86" s="9">
        <f t="shared" si="50"/>
        <v>16708374.611313321</v>
      </c>
      <c r="AI86" s="9">
        <f t="shared" si="50"/>
        <v>23316679.205285087</v>
      </c>
      <c r="AJ86" s="9">
        <f t="shared" si="50"/>
        <v>17732763.814249173</v>
      </c>
      <c r="AK86" s="9">
        <f t="shared" si="50"/>
        <v>19099820.537361238</v>
      </c>
      <c r="AL86" s="9">
        <f t="shared" ref="AL86:AM86" si="51">SUM(AL12,AL5*0.2*(AL12/SUM(AL12:AL13)),AL6*0.05*(AL12/SUM(AL12:AL13)))</f>
        <v>20865787.036055755</v>
      </c>
      <c r="AM86" s="9">
        <f t="shared" si="51"/>
        <v>21164936.977867439</v>
      </c>
      <c r="AN86" s="9">
        <f t="shared" ref="AN86:AP86" si="52">SUM(AN12,AN5*0.2*(AN12/SUM(AN12:AN13)),AN6*0.05*(AN12/SUM(AN12:AN13)))</f>
        <v>16113836.307903916</v>
      </c>
      <c r="AO86" s="9">
        <f t="shared" si="52"/>
        <v>19003943.337523054</v>
      </c>
      <c r="AP86" s="9">
        <f t="shared" si="52"/>
        <v>21780331.817048911</v>
      </c>
      <c r="AQ86" s="9">
        <f t="shared" ref="AQ86:AR86" si="53">SUM(AQ12,AQ5*0.2*(AQ12/SUM(AQ12:AQ13)),AQ6*0.05*(AQ12/SUM(AQ12:AQ13)))</f>
        <v>21626883.287990384</v>
      </c>
      <c r="AR86" s="9">
        <f t="shared" si="53"/>
        <v>13440421.893726299</v>
      </c>
      <c r="AS86" s="9">
        <f t="shared" ref="AS86:AU86" si="54">AS90*AS87</f>
        <v>19681087.612483352</v>
      </c>
      <c r="AT86" s="9">
        <f t="shared" si="54"/>
        <v>22747229.97589032</v>
      </c>
      <c r="AU86" s="9">
        <f t="shared" si="54"/>
        <v>24053869.60274763</v>
      </c>
      <c r="AV86" s="9">
        <f t="shared" ref="AV86:AY86" si="55">AV90*AV87</f>
        <v>18159574.372571666</v>
      </c>
      <c r="AW86" s="9">
        <f t="shared" si="55"/>
        <v>21501259.239154167</v>
      </c>
      <c r="AX86" s="9">
        <f t="shared" si="55"/>
        <v>24934423.679104675</v>
      </c>
      <c r="AY86" s="9">
        <f t="shared" si="55"/>
        <v>26389385.206819374</v>
      </c>
    </row>
    <row r="87" spans="7:51" x14ac:dyDescent="0.3">
      <c r="G87" s="16" t="s">
        <v>83</v>
      </c>
      <c r="H87" s="36">
        <f>H86/H90</f>
        <v>5.5869384181331347E-2</v>
      </c>
      <c r="I87" s="36">
        <f t="shared" ref="I87:V87" si="56">I86/I90</f>
        <v>6.5833092061322054E-2</v>
      </c>
      <c r="J87" s="36">
        <f t="shared" si="56"/>
        <v>6.5930567152852546E-2</v>
      </c>
      <c r="K87" s="36">
        <f t="shared" si="56"/>
        <v>6.4896925449701173E-2</v>
      </c>
      <c r="L87" s="36">
        <f t="shared" si="56"/>
        <v>6.0812781805495791E-2</v>
      </c>
      <c r="M87" s="36">
        <f t="shared" si="56"/>
        <v>6.7506535503566889E-2</v>
      </c>
      <c r="N87" s="36">
        <f t="shared" si="56"/>
        <v>6.969851875392663E-2</v>
      </c>
      <c r="O87" s="36">
        <f t="shared" si="56"/>
        <v>7.9642577236442066E-2</v>
      </c>
      <c r="P87" s="36">
        <f t="shared" si="56"/>
        <v>6.2385752232972005E-2</v>
      </c>
      <c r="Q87" s="36">
        <f t="shared" si="56"/>
        <v>6.7023254654075215E-2</v>
      </c>
      <c r="R87" s="36">
        <f t="shared" si="56"/>
        <v>6.7111751966367289E-2</v>
      </c>
      <c r="S87" s="36">
        <f t="shared" si="56"/>
        <v>7.1738307743542812E-2</v>
      </c>
      <c r="T87" s="36">
        <f t="shared" si="56"/>
        <v>6.0750667673647646E-2</v>
      </c>
      <c r="U87" s="36">
        <f>U86/U90</f>
        <v>8.8439150430515756E-2</v>
      </c>
      <c r="V87" s="36">
        <f t="shared" si="56"/>
        <v>7.6943815626543066E-2</v>
      </c>
      <c r="W87" s="36">
        <f t="shared" ref="W87:AE87" si="57">W86/W90</f>
        <v>7.5432523813665373E-2</v>
      </c>
      <c r="X87" s="36">
        <f t="shared" si="57"/>
        <v>9.3779538400073109E-2</v>
      </c>
      <c r="Y87" s="36">
        <f t="shared" si="57"/>
        <v>8.0634174422255386E-2</v>
      </c>
      <c r="Z87" s="36">
        <f t="shared" si="57"/>
        <v>9.6796640191794861E-2</v>
      </c>
      <c r="AA87" s="36">
        <f t="shared" si="57"/>
        <v>9.5216298200619845E-2</v>
      </c>
      <c r="AB87" s="36">
        <f t="shared" si="57"/>
        <v>7.4214396665036764E-2</v>
      </c>
      <c r="AC87" s="36">
        <f t="shared" si="57"/>
        <v>9.9371420744167396E-2</v>
      </c>
      <c r="AD87" s="36">
        <f t="shared" si="57"/>
        <v>9.3275063275708545E-2</v>
      </c>
      <c r="AE87" s="36">
        <f t="shared" si="57"/>
        <v>0.1033485066799517</v>
      </c>
      <c r="AF87" s="36">
        <f t="shared" ref="AF87:AK87" si="58">AF86/AF90</f>
        <v>7.7344763723640395E-2</v>
      </c>
      <c r="AG87" s="36">
        <f t="shared" si="58"/>
        <v>0.1156813632840523</v>
      </c>
      <c r="AH87" s="36">
        <f t="shared" si="58"/>
        <v>7.6213417906648637E-2</v>
      </c>
      <c r="AI87" s="36">
        <f t="shared" si="58"/>
        <v>0.1020578537953315</v>
      </c>
      <c r="AJ87" s="84">
        <f t="shared" si="58"/>
        <v>9.2345447847767909E-2</v>
      </c>
      <c r="AK87" s="84">
        <f t="shared" si="58"/>
        <v>0.10337090457601011</v>
      </c>
      <c r="AL87" s="84">
        <f t="shared" ref="AL87:AM87" si="59">AL86/AL90</f>
        <v>9.3087860213815501E-2</v>
      </c>
      <c r="AM87" s="84">
        <f t="shared" si="59"/>
        <v>0.10961419333997735</v>
      </c>
      <c r="AN87" s="84">
        <f t="shared" ref="AN87:AP87" si="60">AN86/AN90</f>
        <v>8.2992443026628018E-2</v>
      </c>
      <c r="AO87" s="84">
        <f t="shared" si="60"/>
        <v>0.10368620868279572</v>
      </c>
      <c r="AP87" s="84">
        <f t="shared" si="60"/>
        <v>9.906848080389305E-2</v>
      </c>
      <c r="AQ87" s="84">
        <f t="shared" ref="AQ87:AR87" si="61">AQ86/AQ90</f>
        <v>9.2807386929358762E-2</v>
      </c>
      <c r="AR87" s="84">
        <f t="shared" si="61"/>
        <v>8.3841605408341763E-2</v>
      </c>
      <c r="AS87" s="36">
        <f>+BR_bio_T1</f>
        <v>0.105</v>
      </c>
      <c r="AT87" s="36">
        <f>+BR_bio_T1</f>
        <v>0.105</v>
      </c>
      <c r="AU87" s="36">
        <f>+BR_bio_T1</f>
        <v>0.105</v>
      </c>
      <c r="AV87" s="36">
        <f t="shared" ref="AV87:AY87" si="62">+BR_bio_T0</f>
        <v>0.115</v>
      </c>
      <c r="AW87" s="36">
        <f t="shared" si="62"/>
        <v>0.115</v>
      </c>
      <c r="AX87" s="36">
        <f t="shared" si="62"/>
        <v>0.115</v>
      </c>
      <c r="AY87" s="36">
        <f t="shared" si="62"/>
        <v>0.115</v>
      </c>
    </row>
    <row r="88" spans="7:51" x14ac:dyDescent="0.3">
      <c r="G88" t="s">
        <v>87</v>
      </c>
      <c r="H88" s="9">
        <f t="shared" ref="H88:AE88" si="63">SUM(H13,H5*0.2*(H13/SUM(H12:H13)),H6*0.05*(H13/SUM(H12:H13)))</f>
        <v>0</v>
      </c>
      <c r="I88" s="9">
        <f t="shared" si="63"/>
        <v>0</v>
      </c>
      <c r="J88" s="9">
        <f t="shared" si="63"/>
        <v>0</v>
      </c>
      <c r="K88" s="9">
        <f t="shared" si="63"/>
        <v>0</v>
      </c>
      <c r="L88" s="9">
        <f t="shared" si="63"/>
        <v>0</v>
      </c>
      <c r="M88" s="9">
        <f t="shared" si="63"/>
        <v>0</v>
      </c>
      <c r="N88" s="9">
        <f t="shared" si="63"/>
        <v>0</v>
      </c>
      <c r="O88" s="9">
        <f t="shared" si="63"/>
        <v>340253.53196319623</v>
      </c>
      <c r="P88" s="9">
        <f t="shared" si="63"/>
        <v>301481.0777657968</v>
      </c>
      <c r="Q88" s="9">
        <f t="shared" si="63"/>
        <v>200456.88132569814</v>
      </c>
      <c r="R88" s="9">
        <f t="shared" si="63"/>
        <v>223908.68476536599</v>
      </c>
      <c r="S88" s="9">
        <f t="shared" si="63"/>
        <v>481580.18110141181</v>
      </c>
      <c r="T88" s="9">
        <f t="shared" si="63"/>
        <v>162808.78207863175</v>
      </c>
      <c r="U88" s="9">
        <f t="shared" si="63"/>
        <v>459855.94690061948</v>
      </c>
      <c r="V88" s="9">
        <f t="shared" si="63"/>
        <v>11387556.848322812</v>
      </c>
      <c r="W88" s="9">
        <f t="shared" si="63"/>
        <v>4302226.2480838317</v>
      </c>
      <c r="X88" s="9">
        <f t="shared" si="63"/>
        <v>7135488.9997040434</v>
      </c>
      <c r="Y88" s="9">
        <f t="shared" si="63"/>
        <v>6193852.8179231305</v>
      </c>
      <c r="Z88" s="9">
        <f t="shared" si="63"/>
        <v>203819.17393802531</v>
      </c>
      <c r="AA88" s="9">
        <f t="shared" si="63"/>
        <v>3899436.2287299228</v>
      </c>
      <c r="AB88" s="9">
        <f t="shared" si="63"/>
        <v>6857619.7615190269</v>
      </c>
      <c r="AC88" s="9">
        <f t="shared" si="63"/>
        <v>-454058.42024385557</v>
      </c>
      <c r="AD88" s="9">
        <f t="shared" si="63"/>
        <v>3303457.3055824912</v>
      </c>
      <c r="AE88" s="9">
        <f t="shared" si="63"/>
        <v>65817.401242576962</v>
      </c>
      <c r="AF88" s="9">
        <f t="shared" ref="AF88:AK88" si="64">SUM(AF13,AF5*0.2*(AF13/SUM(AF12:AF13)),AF6*0.05*(AF13/SUM(AF12:AF13)))</f>
        <v>14122040.23204769</v>
      </c>
      <c r="AG88" s="9">
        <f t="shared" si="64"/>
        <v>5060563.6134450855</v>
      </c>
      <c r="AH88" s="9">
        <f t="shared" si="64"/>
        <v>8545364.3386866804</v>
      </c>
      <c r="AI88" s="9">
        <f t="shared" si="64"/>
        <v>18900490.694714911</v>
      </c>
      <c r="AJ88" s="9">
        <f t="shared" si="64"/>
        <v>23722195.685750831</v>
      </c>
      <c r="AK88" s="9">
        <f t="shared" si="64"/>
        <v>26442303.562638763</v>
      </c>
      <c r="AL88" s="9">
        <f t="shared" ref="AL88:AM88" si="65">SUM(AL13,AL5*0.2*(AL13/SUM(AL12:AL13)),AL6*0.05*(AL13/SUM(AL12:AL13)))</f>
        <v>39364279.363944247</v>
      </c>
      <c r="AM88" s="9">
        <f t="shared" si="65"/>
        <v>36719375.872132562</v>
      </c>
      <c r="AN88" s="9">
        <f t="shared" ref="AN88:AP88" si="66">SUM(AN13,AN5*0.2*(AN13/SUM(AN12:AN13)),AN6*0.05*(AN13/SUM(AN12:AN13)))</f>
        <v>56059540.39209608</v>
      </c>
      <c r="AO88" s="9">
        <f t="shared" si="66"/>
        <v>41116266.362476945</v>
      </c>
      <c r="AP88" s="9">
        <f t="shared" si="66"/>
        <v>37050335.882951088</v>
      </c>
      <c r="AQ88" s="9">
        <f t="shared" ref="AQ88:AR88" si="67">SUM(AQ13,AQ5*0.2*(AQ13/SUM(AQ12:AQ13)),AQ6*0.05*(AQ13/SUM(AQ12:AQ13)))</f>
        <v>35653840.812009618</v>
      </c>
      <c r="AR88" s="9">
        <f t="shared" si="67"/>
        <v>12635152.4062737</v>
      </c>
      <c r="AS88" s="9">
        <f>AS89*AS90</f>
        <v>37487785.928539716</v>
      </c>
      <c r="AT88" s="9">
        <f>AT89*AT90</f>
        <v>43328057.096933946</v>
      </c>
      <c r="AU88" s="9">
        <f>AU89*AU90</f>
        <v>45816894.481424063</v>
      </c>
      <c r="AV88" s="9">
        <f t="shared" ref="AV88:AY88" si="68">AV89*AV90</f>
        <v>39477335.592547096</v>
      </c>
      <c r="AW88" s="9">
        <f t="shared" si="68"/>
        <v>46741867.911204711</v>
      </c>
      <c r="AX88" s="9">
        <f t="shared" si="68"/>
        <v>54205268.867618859</v>
      </c>
      <c r="AY88" s="9">
        <f t="shared" si="68"/>
        <v>57368228.710476898</v>
      </c>
    </row>
    <row r="89" spans="7:51" x14ac:dyDescent="0.3">
      <c r="G89" s="16" t="s">
        <v>83</v>
      </c>
      <c r="H89" s="36">
        <f>H88/H90</f>
        <v>0</v>
      </c>
      <c r="I89" s="36">
        <f t="shared" ref="I89:V89" si="69">I88/I90</f>
        <v>0</v>
      </c>
      <c r="J89" s="36">
        <f t="shared" si="69"/>
        <v>0</v>
      </c>
      <c r="K89" s="36">
        <f t="shared" si="69"/>
        <v>0</v>
      </c>
      <c r="L89" s="36">
        <f t="shared" si="69"/>
        <v>0</v>
      </c>
      <c r="M89" s="36">
        <f t="shared" si="69"/>
        <v>0</v>
      </c>
      <c r="N89" s="36">
        <f t="shared" si="69"/>
        <v>0</v>
      </c>
      <c r="O89" s="36">
        <f t="shared" si="69"/>
        <v>1.9069555357184209E-3</v>
      </c>
      <c r="P89" s="36">
        <f t="shared" si="69"/>
        <v>1.7424259230957673E-3</v>
      </c>
      <c r="Q89" s="36">
        <f t="shared" si="69"/>
        <v>1.0284677452838979E-3</v>
      </c>
      <c r="R89" s="36">
        <f t="shared" si="69"/>
        <v>1.0188139878315738E-3</v>
      </c>
      <c r="S89" s="36">
        <f t="shared" si="69"/>
        <v>2.650563039697287E-3</v>
      </c>
      <c r="T89" s="36">
        <f t="shared" si="69"/>
        <v>8.7405181541309028E-4</v>
      </c>
      <c r="U89" s="36">
        <f t="shared" si="69"/>
        <v>2.4617866139428376E-3</v>
      </c>
      <c r="V89" s="36">
        <f t="shared" si="69"/>
        <v>5.1693615561994463E-2</v>
      </c>
      <c r="W89" s="36">
        <f t="shared" ref="W89:AE89" si="70">W88/W90</f>
        <v>2.1214793040279803E-2</v>
      </c>
      <c r="X89" s="36">
        <f t="shared" si="70"/>
        <v>4.3547484961823056E-2</v>
      </c>
      <c r="Y89" s="36">
        <f t="shared" si="70"/>
        <v>3.0792122704240855E-2</v>
      </c>
      <c r="Z89" s="36">
        <f t="shared" si="70"/>
        <v>1.0798922997142825E-3</v>
      </c>
      <c r="AA89" s="36">
        <f t="shared" si="70"/>
        <v>1.9893874957234346E-2</v>
      </c>
      <c r="AB89" s="36">
        <f t="shared" si="70"/>
        <v>3.3544814977731534E-2</v>
      </c>
      <c r="AC89" s="36">
        <f t="shared" si="70"/>
        <v>-2.2317338003072368E-3</v>
      </c>
      <c r="AD89" s="36">
        <f t="shared" si="70"/>
        <v>1.4658728999141281E-2</v>
      </c>
      <c r="AE89" s="36">
        <f t="shared" si="70"/>
        <v>3.5042224002667532E-4</v>
      </c>
      <c r="AF89" s="36">
        <f t="shared" ref="AF89:AK89" si="71">AF88/AF90</f>
        <v>6.1470877656368092E-2</v>
      </c>
      <c r="AG89" s="36">
        <f t="shared" si="71"/>
        <v>2.4557276824085504E-2</v>
      </c>
      <c r="AH89" s="36">
        <f t="shared" si="71"/>
        <v>3.8978742017665866E-2</v>
      </c>
      <c r="AI89" s="36">
        <f t="shared" si="71"/>
        <v>8.2728054839988227E-2</v>
      </c>
      <c r="AJ89" s="84">
        <f t="shared" si="71"/>
        <v>0.12353611695728789</v>
      </c>
      <c r="AK89" s="84">
        <f t="shared" si="71"/>
        <v>0.14310945136875386</v>
      </c>
      <c r="AL89" s="84">
        <f t="shared" ref="AL89:AM89" si="72">AL88/AL90</f>
        <v>0.17561458518274475</v>
      </c>
      <c r="AM89" s="84">
        <f t="shared" si="72"/>
        <v>0.19017135606783131</v>
      </c>
      <c r="AN89" s="84">
        <f t="shared" ref="AN89:AP89" si="73">AN88/AN90</f>
        <v>0.28872815406520563</v>
      </c>
      <c r="AO89" s="84">
        <f t="shared" si="73"/>
        <v>0.22433185042704176</v>
      </c>
      <c r="AP89" s="84">
        <f t="shared" si="73"/>
        <v>0.16852454407167339</v>
      </c>
      <c r="AQ89" s="84">
        <f>AQ88/AQ90</f>
        <v>0.15300123257221374</v>
      </c>
      <c r="AR89" s="84">
        <f>AR88/AR90</f>
        <v>7.8818319149307522E-2</v>
      </c>
      <c r="AS89" s="36">
        <f>+BR_ren_T1</f>
        <v>0.2</v>
      </c>
      <c r="AT89" s="36">
        <f>+BR_ren_T1</f>
        <v>0.2</v>
      </c>
      <c r="AU89" s="36">
        <f>+BR_ren_T1</f>
        <v>0.2</v>
      </c>
      <c r="AV89" s="36">
        <f t="shared" ref="AV89:AY89" si="74">+BR_ren_T0</f>
        <v>0.25</v>
      </c>
      <c r="AW89" s="36">
        <f t="shared" si="74"/>
        <v>0.25</v>
      </c>
      <c r="AX89" s="36">
        <f t="shared" si="74"/>
        <v>0.25</v>
      </c>
      <c r="AY89" s="36">
        <f t="shared" si="74"/>
        <v>0.25</v>
      </c>
    </row>
    <row r="90" spans="7:51" ht="15" thickBot="1" x14ac:dyDescent="0.35">
      <c r="G90" s="20" t="s">
        <v>88</v>
      </c>
      <c r="H90" s="37">
        <f t="shared" ref="H90:AE90" si="75">SUM(H4:H6,H12:H13)</f>
        <v>212413843</v>
      </c>
      <c r="I90" s="37">
        <f t="shared" si="75"/>
        <v>169608014</v>
      </c>
      <c r="J90" s="37">
        <f t="shared" si="75"/>
        <v>197369985</v>
      </c>
      <c r="K90" s="37">
        <f t="shared" si="75"/>
        <v>177036232</v>
      </c>
      <c r="L90" s="37">
        <f t="shared" si="75"/>
        <v>149715187</v>
      </c>
      <c r="M90" s="37">
        <f t="shared" si="75"/>
        <v>198501154</v>
      </c>
      <c r="N90" s="37">
        <f t="shared" si="75"/>
        <v>207626812</v>
      </c>
      <c r="O90" s="37">
        <f t="shared" si="75"/>
        <v>178427617</v>
      </c>
      <c r="P90" s="37">
        <f t="shared" si="75"/>
        <v>173023756</v>
      </c>
      <c r="Q90" s="37">
        <f t="shared" si="75"/>
        <v>194908282</v>
      </c>
      <c r="R90" s="37">
        <f t="shared" si="75"/>
        <v>219773862</v>
      </c>
      <c r="S90" s="37">
        <f t="shared" si="75"/>
        <v>181689767</v>
      </c>
      <c r="T90" s="37">
        <f t="shared" si="75"/>
        <v>186269028</v>
      </c>
      <c r="U90" s="37">
        <f t="shared" si="75"/>
        <v>186797647</v>
      </c>
      <c r="V90" s="37">
        <f t="shared" si="75"/>
        <v>220289425</v>
      </c>
      <c r="W90" s="37">
        <f t="shared" si="75"/>
        <v>202793694</v>
      </c>
      <c r="X90" s="37">
        <f t="shared" si="75"/>
        <v>163855364</v>
      </c>
      <c r="Y90" s="37">
        <f t="shared" si="75"/>
        <v>201150563</v>
      </c>
      <c r="Z90" s="37">
        <f t="shared" si="75"/>
        <v>188740279</v>
      </c>
      <c r="AA90" s="37">
        <f t="shared" si="75"/>
        <v>196011900</v>
      </c>
      <c r="AB90" s="37">
        <f t="shared" si="75"/>
        <v>204431587</v>
      </c>
      <c r="AC90" s="37">
        <f t="shared" si="75"/>
        <v>203455457</v>
      </c>
      <c r="AD90" s="37">
        <f t="shared" si="75"/>
        <v>225357690</v>
      </c>
      <c r="AE90" s="37">
        <f t="shared" si="75"/>
        <v>187823128</v>
      </c>
      <c r="AF90" s="37">
        <f t="shared" ref="AF90:AK90" si="76">SUM(AF4:AF6,AF12:AF13)</f>
        <v>229735458</v>
      </c>
      <c r="AG90" s="37">
        <f t="shared" si="76"/>
        <v>206071856</v>
      </c>
      <c r="AH90" s="37">
        <f t="shared" si="76"/>
        <v>219231404</v>
      </c>
      <c r="AI90" s="37">
        <f t="shared" si="76"/>
        <v>228465310</v>
      </c>
      <c r="AJ90" s="37">
        <f t="shared" si="76"/>
        <v>192026399</v>
      </c>
      <c r="AK90" s="37">
        <f t="shared" si="76"/>
        <v>184769792</v>
      </c>
      <c r="AL90" s="37">
        <f t="shared" ref="AL90:AM90" si="77">SUM(AL4:AL6,AL12:AL13)</f>
        <v>224151538</v>
      </c>
      <c r="AM90" s="37">
        <f t="shared" si="77"/>
        <v>193085734</v>
      </c>
      <c r="AN90" s="37">
        <f t="shared" ref="AN90:AP90" si="78">SUM(AN4:AN6,AN12:AN13)</f>
        <v>194160284</v>
      </c>
      <c r="AO90" s="37">
        <f t="shared" si="78"/>
        <v>183283231</v>
      </c>
      <c r="AP90" s="37">
        <f t="shared" si="78"/>
        <v>219851275</v>
      </c>
      <c r="AQ90" s="37">
        <f t="shared" ref="AQ90:AR90" si="79">SUM(AQ4:AQ6,AQ12:AQ13)</f>
        <v>233029762</v>
      </c>
      <c r="AR90" s="37">
        <f t="shared" si="79"/>
        <v>160307306</v>
      </c>
      <c r="AS90" s="68">
        <f t="shared" ref="AS90" si="80">AO90*(1+AS91)</f>
        <v>187438929.64269859</v>
      </c>
      <c r="AT90" s="68">
        <f t="shared" ref="AT90" si="81">AP90*(1+AT91)</f>
        <v>216640285.48466972</v>
      </c>
      <c r="AU90" s="68">
        <f t="shared" ref="AU90" si="82">AQ90*(1+AU91)</f>
        <v>229084472.40712029</v>
      </c>
      <c r="AV90" s="68">
        <f t="shared" ref="AV90" si="83">AR90*(1+AV91)</f>
        <v>157909342.37018839</v>
      </c>
      <c r="AW90" s="68">
        <f t="shared" ref="AW90" si="84">AS90*(1+AW91)</f>
        <v>186967471.64481884</v>
      </c>
      <c r="AX90" s="68">
        <f t="shared" ref="AX90" si="85">AT90*(1+AX91)</f>
        <v>216821075.47047544</v>
      </c>
      <c r="AY90" s="68">
        <f t="shared" ref="AY90" si="86">AU90*(1+AY91)</f>
        <v>229472914.84190759</v>
      </c>
    </row>
    <row r="91" spans="7:51" x14ac:dyDescent="0.3">
      <c r="G91" s="69" t="s">
        <v>85</v>
      </c>
      <c r="H91" s="70"/>
      <c r="I91" s="70"/>
      <c r="J91" s="70"/>
      <c r="K91" s="70"/>
      <c r="L91" s="71">
        <f t="shared" ref="L91:W91" si="87">L90/H90-1</f>
        <v>-0.2951721748191336</v>
      </c>
      <c r="M91" s="71">
        <f t="shared" si="87"/>
        <v>0.17035244572818353</v>
      </c>
      <c r="N91" s="71">
        <f t="shared" si="87"/>
        <v>5.196751167610425E-2</v>
      </c>
      <c r="O91" s="71">
        <f t="shared" si="87"/>
        <v>7.8593233954504793E-3</v>
      </c>
      <c r="P91" s="71">
        <f t="shared" si="87"/>
        <v>0.15568606944330909</v>
      </c>
      <c r="Q91" s="71">
        <f t="shared" si="87"/>
        <v>-1.8100005605005243E-2</v>
      </c>
      <c r="R91" s="71">
        <f t="shared" si="87"/>
        <v>5.8504245588474335E-2</v>
      </c>
      <c r="S91" s="71">
        <f t="shared" si="87"/>
        <v>1.8282763928859636E-2</v>
      </c>
      <c r="T91" s="71">
        <f t="shared" si="87"/>
        <v>7.6551753968397307E-2</v>
      </c>
      <c r="U91" s="71">
        <f t="shared" si="87"/>
        <v>-4.1612572420088312E-2</v>
      </c>
      <c r="V91" s="71">
        <f t="shared" si="87"/>
        <v>2.3458795113679987E-3</v>
      </c>
      <c r="W91" s="71">
        <f t="shared" si="87"/>
        <v>0.11615363566402714</v>
      </c>
      <c r="X91" s="71">
        <f t="shared" ref="X91:AK91" si="88">X90/T90-1</f>
        <v>-0.12032952681752329</v>
      </c>
      <c r="Y91" s="71">
        <f t="shared" si="88"/>
        <v>7.6836706620827977E-2</v>
      </c>
      <c r="Z91" s="71">
        <f t="shared" si="88"/>
        <v>-0.14321679762884665</v>
      </c>
      <c r="AA91" s="71">
        <f t="shared" si="88"/>
        <v>-3.3441838679658331E-2</v>
      </c>
      <c r="AB91" s="71">
        <f t="shared" si="88"/>
        <v>0.24763438931422477</v>
      </c>
      <c r="AC91" s="71">
        <f t="shared" si="88"/>
        <v>1.1458551075494539E-2</v>
      </c>
      <c r="AD91" s="71">
        <f t="shared" si="88"/>
        <v>0.19400952035256869</v>
      </c>
      <c r="AE91" s="71">
        <f t="shared" si="88"/>
        <v>-4.1776912524188581E-2</v>
      </c>
      <c r="AF91" s="71">
        <f t="shared" si="88"/>
        <v>0.12377671851659588</v>
      </c>
      <c r="AG91" s="71">
        <f t="shared" si="88"/>
        <v>1.2859812356863953E-2</v>
      </c>
      <c r="AH91" s="71">
        <f t="shared" si="88"/>
        <v>-2.7184721320137828E-2</v>
      </c>
      <c r="AI91" s="71">
        <f t="shared" si="88"/>
        <v>0.21638539637142018</v>
      </c>
      <c r="AJ91" s="71">
        <f t="shared" si="88"/>
        <v>-0.16414122281463406</v>
      </c>
      <c r="AK91" s="71">
        <f t="shared" si="88"/>
        <v>-0.10337201990358158</v>
      </c>
      <c r="AL91" s="71">
        <f t="shared" ref="AL91" si="89">AL90/AH90-1</f>
        <v>2.2442651509908762E-2</v>
      </c>
      <c r="AM91" s="71">
        <f t="shared" ref="AM91" si="90">AM90/AI90-1</f>
        <v>-0.15485754051676381</v>
      </c>
      <c r="AN91" s="71">
        <f t="shared" ref="AN91" si="91">AN90/AJ90-1</f>
        <v>1.111245647011283E-2</v>
      </c>
      <c r="AO91" s="71">
        <f t="shared" ref="AO91" si="92">AO90/AK90-1</f>
        <v>-8.045476394756168E-3</v>
      </c>
      <c r="AP91" s="71">
        <f t="shared" ref="AP91:AR91" si="93">AP90/AL90-1</f>
        <v>-1.9184624109070403E-2</v>
      </c>
      <c r="AQ91" s="71">
        <f t="shared" si="93"/>
        <v>0.2068719794700109</v>
      </c>
      <c r="AR91" s="71">
        <f t="shared" si="93"/>
        <v>-0.17435583273044652</v>
      </c>
      <c r="AS91" s="196">
        <f>+'[1]Quarterly Work'!$Q$40</f>
        <v>2.2673643518967612E-2</v>
      </c>
      <c r="AT91" s="196">
        <f>+'[1]Quarterly Work'!$Q$41</f>
        <v>-1.4605280389346276E-2</v>
      </c>
      <c r="AU91" s="196">
        <f>+'[1]Quarterly Work'!$Q$42</f>
        <v>-1.6930410772507676E-2</v>
      </c>
      <c r="AV91" s="196">
        <f>+'[1]Quarterly Work'!$Q$43</f>
        <v>-1.4958542374928441E-2</v>
      </c>
      <c r="AW91" s="196">
        <f>+'[1]Quarterly Work'!$Q$44</f>
        <v>-2.5152618977202224E-3</v>
      </c>
      <c r="AX91" s="196">
        <f>+'[1]Quarterly Work'!$Q$45</f>
        <v>8.3451692930180954E-4</v>
      </c>
      <c r="AY91" s="196">
        <f>+'[1]Quarterly Work'!$Q$46</f>
        <v>1.6956296981009977E-3</v>
      </c>
    </row>
    <row r="92" spans="7:51" x14ac:dyDescent="0.3">
      <c r="H92" s="9"/>
      <c r="I92" s="9"/>
      <c r="J92" s="9"/>
      <c r="K92" s="9"/>
      <c r="L92" s="9"/>
      <c r="M92" s="9"/>
      <c r="N92" s="9"/>
      <c r="O92" s="9"/>
      <c r="P92" s="9"/>
      <c r="Q92" s="9"/>
      <c r="R92" s="9"/>
      <c r="S92" s="9"/>
      <c r="T92" s="9"/>
      <c r="AE92" s="7"/>
      <c r="AF92" s="7"/>
      <c r="AG92" s="7"/>
      <c r="AH92" s="7"/>
      <c r="AK92" s="7"/>
      <c r="AL92" s="7"/>
      <c r="AM92" s="7"/>
      <c r="AN92" s="7"/>
      <c r="AO92" s="7"/>
      <c r="AP92" s="7"/>
      <c r="AQ92" s="7"/>
      <c r="AR92" s="7"/>
      <c r="AS92" s="7"/>
      <c r="AT92" s="7"/>
      <c r="AU92" s="7"/>
    </row>
    <row r="93" spans="7:51" x14ac:dyDescent="0.3">
      <c r="G93" t="s">
        <v>89</v>
      </c>
      <c r="H93" s="9">
        <f t="shared" ref="H93:AK93" si="94">H15</f>
        <v>7061</v>
      </c>
      <c r="I93" s="9">
        <f t="shared" si="94"/>
        <v>10979</v>
      </c>
      <c r="J93" s="9">
        <f t="shared" si="94"/>
        <v>15031</v>
      </c>
      <c r="K93" s="9">
        <f t="shared" si="94"/>
        <v>14084</v>
      </c>
      <c r="L93" s="9">
        <f t="shared" si="94"/>
        <v>14322</v>
      </c>
      <c r="M93" s="9">
        <f t="shared" si="94"/>
        <v>18144</v>
      </c>
      <c r="N93" s="9">
        <f t="shared" si="94"/>
        <v>24117</v>
      </c>
      <c r="O93" s="9">
        <f t="shared" si="94"/>
        <v>22967</v>
      </c>
      <c r="P93" s="9">
        <f t="shared" si="94"/>
        <v>18643</v>
      </c>
      <c r="Q93" s="9">
        <f t="shared" si="94"/>
        <v>26424</v>
      </c>
      <c r="R93" s="9">
        <f t="shared" si="94"/>
        <v>34852</v>
      </c>
      <c r="S93" s="9">
        <f t="shared" si="94"/>
        <v>43869</v>
      </c>
      <c r="T93" s="9">
        <f t="shared" si="94"/>
        <v>43384</v>
      </c>
      <c r="U93" s="9">
        <f t="shared" si="94"/>
        <v>54052</v>
      </c>
      <c r="V93" s="9">
        <f t="shared" si="94"/>
        <v>70193</v>
      </c>
      <c r="W93" s="9">
        <f t="shared" si="94"/>
        <v>69198</v>
      </c>
      <c r="X93" s="9">
        <f t="shared" si="94"/>
        <v>54300</v>
      </c>
      <c r="Y93" s="9">
        <f t="shared" si="94"/>
        <v>37633</v>
      </c>
      <c r="Z93" s="9">
        <f t="shared" si="94"/>
        <v>72090</v>
      </c>
      <c r="AA93" s="9">
        <f t="shared" si="94"/>
        <v>67128</v>
      </c>
      <c r="AB93" s="9">
        <f t="shared" si="94"/>
        <v>70162</v>
      </c>
      <c r="AC93" s="9">
        <f t="shared" si="94"/>
        <v>108611</v>
      </c>
      <c r="AD93" s="9">
        <f t="shared" si="94"/>
        <v>141880</v>
      </c>
      <c r="AE93" s="9">
        <f t="shared" si="94"/>
        <v>139929</v>
      </c>
      <c r="AF93" s="9">
        <f t="shared" si="94"/>
        <v>144219</v>
      </c>
      <c r="AG93" s="9">
        <f t="shared" si="94"/>
        <v>205827</v>
      </c>
      <c r="AH93" s="9">
        <f t="shared" si="94"/>
        <v>264249</v>
      </c>
      <c r="AI93" s="9">
        <f t="shared" si="94"/>
        <v>264419</v>
      </c>
      <c r="AJ93" s="9">
        <f t="shared" si="94"/>
        <v>241448</v>
      </c>
      <c r="AK93" s="9">
        <f t="shared" si="94"/>
        <v>301026</v>
      </c>
      <c r="AL93" s="9">
        <f t="shared" ref="AL93:AO93" si="95">AL15</f>
        <v>400546</v>
      </c>
      <c r="AM93" s="9">
        <f t="shared" si="95"/>
        <v>424311</v>
      </c>
      <c r="AN93" s="9">
        <f t="shared" si="95"/>
        <v>349198</v>
      </c>
      <c r="AO93" s="9">
        <f t="shared" si="95"/>
        <v>437381</v>
      </c>
      <c r="AP93" s="9">
        <f t="shared" ref="AP93:AR93" si="96">AP15</f>
        <v>555409</v>
      </c>
      <c r="AQ93" s="9">
        <f t="shared" si="96"/>
        <v>560665</v>
      </c>
      <c r="AR93" s="9">
        <f t="shared" si="96"/>
        <v>542119</v>
      </c>
      <c r="AS93" s="104" cm="1">
        <f t="array" ref="AS93">TREND(AI93:AR93,AI3:AR3,AS3)+AS100</f>
        <v>698625.71691000462</v>
      </c>
      <c r="AT93" s="104" cm="1">
        <f t="array" ref="AT93">TREND(AJ93:AS93,AJ3:AS3,AT3)+AT100</f>
        <v>783633.8128721714</v>
      </c>
      <c r="AU93" s="104" cm="1">
        <f t="array" ref="AU93">TREND(AK93:AT93,AK3:AT3,AU3)+AU100</f>
        <v>866051.62533486634</v>
      </c>
      <c r="AV93" s="104" cm="1">
        <f t="array" ref="AV93">TREND(AL93:AU93,AL3:AU3,AV3)+AV100</f>
        <v>961292.93036678806</v>
      </c>
      <c r="AW93" s="104" cm="1">
        <f t="array" ref="AW93">TREND(AM93:AV93,AM3:AV3,AW3)+AW100</f>
        <v>1082265.4792301357</v>
      </c>
      <c r="AX93" s="104" cm="1">
        <f t="array" ref="AX93">TREND(AN93:AW93,AN3:AW3,AX3)+AX100</f>
        <v>1221346.2565507963</v>
      </c>
      <c r="AY93" s="104" cm="1">
        <f t="array" ref="AY93">TREND(AO93:AX93,AO3:AX3,AY3)+AY100</f>
        <v>1353035.9650564641</v>
      </c>
    </row>
    <row r="94" spans="7:51" x14ac:dyDescent="0.3">
      <c r="G94" t="s">
        <v>90</v>
      </c>
      <c r="H94" s="9">
        <f>+H24</f>
        <v>303146.87179607654</v>
      </c>
      <c r="I94" s="9">
        <f t="shared" ref="I94:AK94" si="97">+I24</f>
        <v>303146.87179607654</v>
      </c>
      <c r="J94" s="9">
        <f t="shared" si="97"/>
        <v>303146.87179607654</v>
      </c>
      <c r="K94" s="9">
        <f t="shared" si="97"/>
        <v>303146.87179607654</v>
      </c>
      <c r="L94" s="9">
        <f t="shared" si="97"/>
        <v>370506.58883082954</v>
      </c>
      <c r="M94" s="9">
        <f t="shared" si="97"/>
        <v>370506.58883082954</v>
      </c>
      <c r="N94" s="9">
        <f t="shared" si="97"/>
        <v>370506.58883082954</v>
      </c>
      <c r="O94" s="9">
        <f t="shared" si="97"/>
        <v>370506.58883082954</v>
      </c>
      <c r="P94" s="9">
        <f t="shared" si="97"/>
        <v>500680.88259307639</v>
      </c>
      <c r="Q94" s="9">
        <f t="shared" si="97"/>
        <v>500680.88259307639</v>
      </c>
      <c r="R94" s="9">
        <f t="shared" si="97"/>
        <v>500680.88259307639</v>
      </c>
      <c r="S94" s="9">
        <f t="shared" si="97"/>
        <v>500680.88259307639</v>
      </c>
      <c r="T94" s="9">
        <f t="shared" si="97"/>
        <v>638196.00342913123</v>
      </c>
      <c r="U94" s="9">
        <f t="shared" si="97"/>
        <v>638196.00342913123</v>
      </c>
      <c r="V94" s="9">
        <f t="shared" si="97"/>
        <v>638196.00342913123</v>
      </c>
      <c r="W94" s="9">
        <f t="shared" si="97"/>
        <v>638196.00342913123</v>
      </c>
      <c r="X94" s="9">
        <f t="shared" si="97"/>
        <v>757108.28298497712</v>
      </c>
      <c r="Y94" s="9">
        <f t="shared" si="97"/>
        <v>757108.28298497712</v>
      </c>
      <c r="Z94" s="9">
        <f t="shared" si="97"/>
        <v>757108.28298497712</v>
      </c>
      <c r="AA94" s="9">
        <f t="shared" si="97"/>
        <v>757108.28298497712</v>
      </c>
      <c r="AB94" s="9">
        <f t="shared" si="97"/>
        <v>957266.83540169825</v>
      </c>
      <c r="AC94" s="9">
        <f t="shared" si="97"/>
        <v>957266.83540169825</v>
      </c>
      <c r="AD94" s="9">
        <f t="shared" si="97"/>
        <v>1153045.1257348137</v>
      </c>
      <c r="AE94" s="9">
        <f t="shared" si="97"/>
        <v>1153045.1257348137</v>
      </c>
      <c r="AF94" s="9">
        <f t="shared" si="97"/>
        <v>1489651.8713259308</v>
      </c>
      <c r="AG94" s="9">
        <f t="shared" si="97"/>
        <v>1489651.8713259308</v>
      </c>
      <c r="AH94" s="9">
        <f t="shared" si="97"/>
        <v>1524823.3834095362</v>
      </c>
      <c r="AI94" s="9">
        <f t="shared" si="97"/>
        <v>1524823.3834095362</v>
      </c>
      <c r="AJ94" s="9">
        <f t="shared" si="97"/>
        <v>1710463</v>
      </c>
      <c r="AK94" s="9">
        <f t="shared" si="97"/>
        <v>1710463</v>
      </c>
      <c r="AL94" s="9">
        <f t="shared" ref="AL94:AO94" si="98">+AL24</f>
        <v>2152660</v>
      </c>
      <c r="AM94" s="9">
        <f t="shared" si="98"/>
        <v>2152660</v>
      </c>
      <c r="AN94" s="9">
        <f t="shared" si="98"/>
        <v>2184215</v>
      </c>
      <c r="AO94" s="9">
        <f t="shared" si="98"/>
        <v>2184215</v>
      </c>
      <c r="AP94" s="9">
        <f t="shared" ref="AP94:AQ94" si="99">+AP24</f>
        <v>2498030</v>
      </c>
      <c r="AQ94" s="9">
        <f t="shared" si="99"/>
        <v>2498030</v>
      </c>
      <c r="AR94" s="105">
        <f>'Electric Vehicles'!$H$52*KWh_T0*(ED_eon_T0/ED_gas_T0)/4</f>
        <v>2639794.6587197911</v>
      </c>
      <c r="AS94" s="105">
        <f>'Electric Vehicles'!$H$53*KWh_T0*(ED_eon_T0/ED_gas_T0)/4</f>
        <v>2750175.6245917701</v>
      </c>
      <c r="AT94" s="105">
        <f>'Electric Vehicles'!$H$54*KWh_T0*(ED_eon_T0/ED_gas_T0)/4</f>
        <v>2865116.8451992162</v>
      </c>
      <c r="AU94" s="105">
        <f>'Electric Vehicles'!$H$55*KWh_T0*(ED_eon_T0/ED_gas_T0)/4</f>
        <v>2979670.4441541475</v>
      </c>
      <c r="AV94" s="105">
        <f>'Electric Vehicles'!$H$56*KWh_T0*(ED_eon_T0/ED_gas_T0)/4</f>
        <v>3206155.4955911171</v>
      </c>
      <c r="AW94" s="105">
        <f>'Electric Vehicles'!$H$57*KWh_T0*(ED_eon_T0/ED_gas_T0)/4</f>
        <v>3410181.2924559112</v>
      </c>
      <c r="AX94" s="105">
        <f>'Electric Vehicles'!$H$58*KWh_T0*(ED_eon_T0/ED_gas_T0)/4</f>
        <v>3617672.8829196603</v>
      </c>
      <c r="AY94" s="105">
        <f>'Electric Vehicles'!$H$59*KWh_T0*(ED_eon_T0/ED_gas_T0)/4</f>
        <v>3813649.8301763553</v>
      </c>
    </row>
    <row r="95" spans="7:51" x14ac:dyDescent="0.3">
      <c r="G95" s="16" t="s">
        <v>91</v>
      </c>
      <c r="H95" s="36">
        <f>H94/H96</f>
        <v>0.97723784390409751</v>
      </c>
      <c r="I95" s="36">
        <f t="shared" ref="I95:AY95" si="100">I94/I96</f>
        <v>0.9650490424834306</v>
      </c>
      <c r="J95" s="36">
        <f t="shared" si="100"/>
        <v>0.95275912836065002</v>
      </c>
      <c r="K95" s="36">
        <f t="shared" si="100"/>
        <v>0.95560331212324912</v>
      </c>
      <c r="L95" s="36">
        <f t="shared" si="100"/>
        <v>0.96278343029681734</v>
      </c>
      <c r="M95" s="36">
        <f t="shared" si="100"/>
        <v>0.95331539299970636</v>
      </c>
      <c r="N95" s="36">
        <f t="shared" si="100"/>
        <v>0.93888606590535395</v>
      </c>
      <c r="O95" s="36">
        <f t="shared" si="100"/>
        <v>0.94163013566363041</v>
      </c>
      <c r="P95" s="36">
        <f t="shared" si="100"/>
        <v>0.96410140063863004</v>
      </c>
      <c r="Q95" s="36">
        <f t="shared" si="100"/>
        <v>0.94986955941290474</v>
      </c>
      <c r="R95" s="36">
        <f t="shared" si="100"/>
        <v>0.93492089630193209</v>
      </c>
      <c r="S95" s="36">
        <f t="shared" si="100"/>
        <v>0.91943988713926161</v>
      </c>
      <c r="T95" s="36">
        <f t="shared" si="100"/>
        <v>0.93634789785244787</v>
      </c>
      <c r="U95" s="36">
        <f t="shared" si="100"/>
        <v>0.92191815688561451</v>
      </c>
      <c r="V95" s="36">
        <f t="shared" si="100"/>
        <v>0.90091178764744584</v>
      </c>
      <c r="W95" s="36">
        <f t="shared" si="100"/>
        <v>0.90217898418058551</v>
      </c>
      <c r="X95" s="36">
        <f t="shared" si="100"/>
        <v>0.93307931267321642</v>
      </c>
      <c r="Y95" s="36">
        <f t="shared" si="100"/>
        <v>0.9526474831423708</v>
      </c>
      <c r="Z95" s="36">
        <f t="shared" si="100"/>
        <v>0.91306060145169632</v>
      </c>
      <c r="AA95" s="36">
        <f t="shared" si="100"/>
        <v>0.91855733436424869</v>
      </c>
      <c r="AB95" s="36">
        <f t="shared" si="100"/>
        <v>0.93171108539836878</v>
      </c>
      <c r="AC95" s="36">
        <f t="shared" si="100"/>
        <v>0.89810183081716144</v>
      </c>
      <c r="AD95" s="36">
        <f t="shared" si="100"/>
        <v>0.89043381954652456</v>
      </c>
      <c r="AE95" s="36">
        <f t="shared" si="100"/>
        <v>0.89177741672094435</v>
      </c>
      <c r="AF95" s="36">
        <f t="shared" si="100"/>
        <v>0.9117317025898366</v>
      </c>
      <c r="AG95" s="36">
        <f t="shared" si="100"/>
        <v>0.87860243882659816</v>
      </c>
      <c r="AH95" s="36">
        <f t="shared" si="100"/>
        <v>0.85229831813936685</v>
      </c>
      <c r="AI95" s="36">
        <f t="shared" si="100"/>
        <v>0.85221733933212018</v>
      </c>
      <c r="AJ95" s="36">
        <f t="shared" si="100"/>
        <v>0.87630173711813708</v>
      </c>
      <c r="AK95" s="36">
        <f t="shared" si="100"/>
        <v>0.85034668347676767</v>
      </c>
      <c r="AL95" s="36">
        <f t="shared" ref="AL95:AM95" si="101">AL94/AL96</f>
        <v>0.84312037493253578</v>
      </c>
      <c r="AM95" s="36">
        <f t="shared" si="101"/>
        <v>0.83534506209033788</v>
      </c>
      <c r="AN95" s="36">
        <f t="shared" si="100"/>
        <v>0.86216301882085555</v>
      </c>
      <c r="AO95" s="36">
        <f t="shared" si="100"/>
        <v>0.83316231791626172</v>
      </c>
      <c r="AP95" s="36">
        <f t="shared" ref="AP95:AQ95" si="102">AP94/AP96</f>
        <v>0.81810378396293493</v>
      </c>
      <c r="AQ95" s="36">
        <f t="shared" si="102"/>
        <v>0.81669797086666041</v>
      </c>
      <c r="AR95" s="36">
        <f t="shared" si="100"/>
        <v>0.82962485530857688</v>
      </c>
      <c r="AS95" s="36">
        <f t="shared" si="100"/>
        <v>0.79742941163268355</v>
      </c>
      <c r="AT95" s="36">
        <f t="shared" si="100"/>
        <v>0.78523229282913642</v>
      </c>
      <c r="AU95" s="36">
        <f t="shared" si="100"/>
        <v>0.77480129617116622</v>
      </c>
      <c r="AV95" s="36">
        <f t="shared" si="100"/>
        <v>0.76933297497357012</v>
      </c>
      <c r="AW95" s="36">
        <f t="shared" si="100"/>
        <v>0.75909219758569246</v>
      </c>
      <c r="AX95" s="36">
        <f t="shared" si="100"/>
        <v>0.74760458238558436</v>
      </c>
      <c r="AY95" s="36">
        <f t="shared" si="100"/>
        <v>0.73812304082727875</v>
      </c>
    </row>
    <row r="96" spans="7:51" ht="15" thickBot="1" x14ac:dyDescent="0.35">
      <c r="G96" s="20" t="s">
        <v>92</v>
      </c>
      <c r="H96" s="37">
        <f t="shared" ref="H96:U96" si="103">SUM(H93:H94)</f>
        <v>310207.87179607654</v>
      </c>
      <c r="I96" s="37">
        <f t="shared" si="103"/>
        <v>314125.87179607654</v>
      </c>
      <c r="J96" s="37">
        <f t="shared" si="103"/>
        <v>318177.87179607654</v>
      </c>
      <c r="K96" s="37">
        <f t="shared" si="103"/>
        <v>317230.87179607654</v>
      </c>
      <c r="L96" s="37">
        <f t="shared" si="103"/>
        <v>384828.58883082954</v>
      </c>
      <c r="M96" s="37">
        <f t="shared" si="103"/>
        <v>388650.58883082954</v>
      </c>
      <c r="N96" s="37">
        <f t="shared" si="103"/>
        <v>394623.58883082954</v>
      </c>
      <c r="O96" s="37">
        <f t="shared" si="103"/>
        <v>393473.58883082954</v>
      </c>
      <c r="P96" s="37">
        <f t="shared" si="103"/>
        <v>519323.88259307639</v>
      </c>
      <c r="Q96" s="37">
        <f t="shared" si="103"/>
        <v>527104.88259307644</v>
      </c>
      <c r="R96" s="37">
        <f t="shared" si="103"/>
        <v>535532.88259307644</v>
      </c>
      <c r="S96" s="37">
        <f t="shared" si="103"/>
        <v>544549.88259307644</v>
      </c>
      <c r="T96" s="37">
        <f>SUM(T93:T94)</f>
        <v>681580.00342913123</v>
      </c>
      <c r="U96" s="37">
        <f t="shared" si="103"/>
        <v>692248.00342913123</v>
      </c>
      <c r="V96" s="37">
        <f t="shared" ref="V96:AY96" si="104">SUM(V93:V94)</f>
        <v>708389.00342913123</v>
      </c>
      <c r="W96" s="37">
        <f t="shared" si="104"/>
        <v>707394.00342913123</v>
      </c>
      <c r="X96" s="37">
        <f t="shared" si="104"/>
        <v>811408.28298497712</v>
      </c>
      <c r="Y96" s="37">
        <f t="shared" si="104"/>
        <v>794741.28298497712</v>
      </c>
      <c r="Z96" s="37">
        <f t="shared" si="104"/>
        <v>829198.28298497712</v>
      </c>
      <c r="AA96" s="37">
        <f t="shared" si="104"/>
        <v>824236.28298497712</v>
      </c>
      <c r="AB96" s="37">
        <f t="shared" si="104"/>
        <v>1027428.8354016982</v>
      </c>
      <c r="AC96" s="37">
        <f t="shared" si="104"/>
        <v>1065877.8354016982</v>
      </c>
      <c r="AD96" s="37">
        <f t="shared" si="104"/>
        <v>1294925.1257348137</v>
      </c>
      <c r="AE96" s="37">
        <f t="shared" si="104"/>
        <v>1292974.1257348137</v>
      </c>
      <c r="AF96" s="37">
        <f t="shared" si="104"/>
        <v>1633870.8713259308</v>
      </c>
      <c r="AG96" s="37">
        <f t="shared" si="104"/>
        <v>1695478.8713259308</v>
      </c>
      <c r="AH96" s="37">
        <f t="shared" si="104"/>
        <v>1789072.3834095362</v>
      </c>
      <c r="AI96" s="37">
        <f t="shared" si="104"/>
        <v>1789242.3834095362</v>
      </c>
      <c r="AJ96" s="37">
        <f t="shared" si="104"/>
        <v>1951911</v>
      </c>
      <c r="AK96" s="37">
        <f t="shared" si="104"/>
        <v>2011489</v>
      </c>
      <c r="AL96" s="37">
        <f t="shared" ref="AL96:AM96" si="105">SUM(AL93:AL94)</f>
        <v>2553206</v>
      </c>
      <c r="AM96" s="37">
        <f t="shared" si="105"/>
        <v>2576971</v>
      </c>
      <c r="AN96" s="37">
        <f t="shared" si="104"/>
        <v>2533413</v>
      </c>
      <c r="AO96" s="37">
        <f t="shared" si="104"/>
        <v>2621596</v>
      </c>
      <c r="AP96" s="37">
        <f t="shared" ref="AP96:AQ96" si="106">SUM(AP93:AP94)</f>
        <v>3053439</v>
      </c>
      <c r="AQ96" s="37">
        <f t="shared" si="106"/>
        <v>3058695</v>
      </c>
      <c r="AR96" s="37">
        <f>SUM(AR93:AR94)</f>
        <v>3181913.6587197911</v>
      </c>
      <c r="AS96" s="37">
        <f t="shared" si="104"/>
        <v>3448801.3415017747</v>
      </c>
      <c r="AT96" s="37">
        <f t="shared" si="104"/>
        <v>3648750.6580713876</v>
      </c>
      <c r="AU96" s="37">
        <f t="shared" si="104"/>
        <v>3845722.0694890139</v>
      </c>
      <c r="AV96" s="37">
        <f t="shared" si="104"/>
        <v>4167448.4259579051</v>
      </c>
      <c r="AW96" s="37">
        <f t="shared" si="104"/>
        <v>4492446.7716860473</v>
      </c>
      <c r="AX96" s="37">
        <f t="shared" si="104"/>
        <v>4839019.1394704562</v>
      </c>
      <c r="AY96" s="37">
        <f t="shared" si="104"/>
        <v>5166685.7952328194</v>
      </c>
    </row>
    <row r="97" spans="7:51" x14ac:dyDescent="0.3">
      <c r="G97" s="69" t="s">
        <v>85</v>
      </c>
      <c r="H97" s="70"/>
      <c r="I97" s="70"/>
      <c r="J97" s="70"/>
      <c r="K97" s="70"/>
      <c r="L97" s="71">
        <f t="shared" ref="L97:AE97" si="107">L96/H96-1</f>
        <v>0.24055068816502168</v>
      </c>
      <c r="M97" s="71">
        <f t="shared" si="107"/>
        <v>0.23724475990673177</v>
      </c>
      <c r="N97" s="71">
        <f t="shared" si="107"/>
        <v>0.24026094776241336</v>
      </c>
      <c r="O97" s="71">
        <f t="shared" si="107"/>
        <v>0.24033826406328962</v>
      </c>
      <c r="P97" s="71">
        <f t="shared" si="107"/>
        <v>0.34949402842149779</v>
      </c>
      <c r="Q97" s="71">
        <f t="shared" si="107"/>
        <v>0.35624362278404464</v>
      </c>
      <c r="R97" s="71">
        <f t="shared" si="107"/>
        <v>0.35707265797193144</v>
      </c>
      <c r="S97" s="71">
        <f t="shared" si="107"/>
        <v>0.38395536079348092</v>
      </c>
      <c r="T97" s="71">
        <f t="shared" si="107"/>
        <v>0.31243724056340572</v>
      </c>
      <c r="U97" s="71">
        <f t="shared" si="107"/>
        <v>0.31330220282467924</v>
      </c>
      <c r="V97" s="71">
        <f t="shared" si="107"/>
        <v>0.32277405637367584</v>
      </c>
      <c r="W97" s="71">
        <f t="shared" si="107"/>
        <v>0.29904353309307874</v>
      </c>
      <c r="X97" s="71">
        <f t="shared" si="107"/>
        <v>0.19048135054235793</v>
      </c>
      <c r="Y97" s="71">
        <f t="shared" si="107"/>
        <v>0.14805861345664195</v>
      </c>
      <c r="Z97" s="71">
        <f t="shared" si="107"/>
        <v>0.17054087368809911</v>
      </c>
      <c r="AA97" s="71">
        <f t="shared" si="107"/>
        <v>0.1651728442557423</v>
      </c>
      <c r="AB97" s="71">
        <f t="shared" si="107"/>
        <v>0.26622916840586486</v>
      </c>
      <c r="AC97" s="71">
        <f t="shared" si="107"/>
        <v>0.3411632920317873</v>
      </c>
      <c r="AD97" s="71">
        <f t="shared" si="107"/>
        <v>0.56165919817549148</v>
      </c>
      <c r="AE97" s="71">
        <f t="shared" si="107"/>
        <v>0.56869353172891079</v>
      </c>
      <c r="AF97" s="71">
        <f t="shared" ref="AF97:AK97" si="108">AF96/AB96-1</f>
        <v>0.59025210800817107</v>
      </c>
      <c r="AG97" s="71">
        <f t="shared" si="108"/>
        <v>0.59068780212223326</v>
      </c>
      <c r="AH97" s="71">
        <f t="shared" si="108"/>
        <v>0.38160295746390394</v>
      </c>
      <c r="AI97" s="71">
        <f t="shared" si="108"/>
        <v>0.38381917147235023</v>
      </c>
      <c r="AJ97" s="71">
        <f t="shared" si="108"/>
        <v>0.1946543844165427</v>
      </c>
      <c r="AK97" s="71">
        <f t="shared" si="108"/>
        <v>0.186383996886341</v>
      </c>
      <c r="AL97" s="71">
        <f t="shared" ref="AL97" si="109">AL96/AH96-1</f>
        <v>0.42711162705122718</v>
      </c>
      <c r="AM97" s="71">
        <f t="shared" ref="AM97" si="110">AM96/AI96-1</f>
        <v>0.44025819189985183</v>
      </c>
      <c r="AN97" s="71">
        <f t="shared" ref="AN97:AU97" si="111">AN96/AJ96-1</f>
        <v>0.29791419793218021</v>
      </c>
      <c r="AO97" s="71">
        <f t="shared" si="111"/>
        <v>0.30331112921820602</v>
      </c>
      <c r="AP97" s="71">
        <f t="shared" ref="AP97" si="112">AP96/AL96-1</f>
        <v>0.19592347816823241</v>
      </c>
      <c r="AQ97" s="71">
        <f t="shared" ref="AQ97" si="113">AQ96/AM96-1</f>
        <v>0.18693419522377241</v>
      </c>
      <c r="AR97" s="71">
        <f t="shared" si="111"/>
        <v>0.2559790522586689</v>
      </c>
      <c r="AS97" s="71">
        <f t="shared" si="111"/>
        <v>0.31553501817281338</v>
      </c>
      <c r="AT97" s="71">
        <f t="shared" si="111"/>
        <v>0.19496431992628227</v>
      </c>
      <c r="AU97" s="71">
        <f t="shared" si="111"/>
        <v>0.25730812306850259</v>
      </c>
      <c r="AV97" s="71">
        <f t="shared" ref="AV97" si="114">AV96/AR96-1</f>
        <v>0.30973020419247743</v>
      </c>
      <c r="AW97" s="71">
        <f t="shared" ref="AW97" si="115">AW96/AS96-1</f>
        <v>0.30261106014584738</v>
      </c>
      <c r="AX97" s="71">
        <f t="shared" ref="AX97" si="116">AX96/AT96-1</f>
        <v>0.32621261164176296</v>
      </c>
      <c r="AY97" s="71">
        <f t="shared" ref="AY97" si="117">AY96/AU96-1</f>
        <v>0.3434891294469764</v>
      </c>
    </row>
    <row r="98" spans="7:51" x14ac:dyDescent="0.3">
      <c r="H98" s="9"/>
      <c r="I98" s="9"/>
      <c r="J98" s="9"/>
      <c r="K98" s="9"/>
      <c r="L98" s="9"/>
      <c r="M98" s="9"/>
      <c r="N98" s="9"/>
      <c r="O98" s="9"/>
      <c r="P98" s="9"/>
      <c r="Q98" s="9"/>
      <c r="R98" s="9"/>
      <c r="S98" s="9"/>
      <c r="T98" s="9"/>
      <c r="U98" s="9"/>
      <c r="V98" s="9"/>
      <c r="W98" s="9"/>
      <c r="X98" s="9"/>
      <c r="Y98" s="9"/>
      <c r="Z98" s="9"/>
      <c r="AA98" s="9"/>
      <c r="AB98" s="9"/>
      <c r="AC98" s="9"/>
      <c r="AD98" s="9"/>
      <c r="AE98" s="9"/>
      <c r="AJ98" s="9"/>
      <c r="AK98" s="9"/>
      <c r="AL98" s="9"/>
      <c r="AM98" s="9"/>
      <c r="AN98" s="9"/>
      <c r="AO98" s="9"/>
      <c r="AP98" s="9"/>
      <c r="AQ98" s="9"/>
      <c r="AR98" s="9"/>
      <c r="AS98" s="9"/>
      <c r="AT98" s="9"/>
      <c r="AU98" s="9"/>
    </row>
    <row r="99" spans="7:51" x14ac:dyDescent="0.3">
      <c r="G99" t="s">
        <v>93</v>
      </c>
      <c r="H99" s="9" t="e">
        <f>+H93*'Constants Pivot'!$N6/'Constants Pivot'!$N12/'Electric Vehicles'!$H16</f>
        <v>#DIV/0!</v>
      </c>
      <c r="I99" s="9" t="e">
        <f>+I93*'Constants Pivot'!$N6/'Constants Pivot'!$N12/'Electric Vehicles'!$H17</f>
        <v>#DIV/0!</v>
      </c>
      <c r="J99" s="9" t="e">
        <f>+J93*'Constants Pivot'!$N6/'Constants Pivot'!$N12/'Electric Vehicles'!$H18</f>
        <v>#DIV/0!</v>
      </c>
      <c r="K99" s="9" t="e">
        <f>+K93*'Constants Pivot'!$N6/'Constants Pivot'!$N12/'Electric Vehicles'!$H19</f>
        <v>#DIV/0!</v>
      </c>
      <c r="L99" s="9" t="e">
        <f>+L93*'Constants Pivot'!$N6/'Constants Pivot'!$N12/'Electric Vehicles'!$H20</f>
        <v>#DIV/0!</v>
      </c>
      <c r="M99" s="9" t="e">
        <f>+M93*'Constants Pivot'!$N6/'Constants Pivot'!$N12/'Electric Vehicles'!$H21</f>
        <v>#DIV/0!</v>
      </c>
      <c r="N99" s="9" t="e">
        <f>+N93*'Constants Pivot'!$N6/'Constants Pivot'!$N12/'Electric Vehicles'!$H22</f>
        <v>#DIV/0!</v>
      </c>
      <c r="O99" s="9" t="e">
        <f>+O93*'Constants Pivot'!$N6/'Constants Pivot'!$N12/'Electric Vehicles'!$H23</f>
        <v>#DIV/0!</v>
      </c>
      <c r="P99" s="9" t="e">
        <f>+P93*'Constants Pivot'!$N6/'Constants Pivot'!$N12/'Electric Vehicles'!$H24</f>
        <v>#DIV/0!</v>
      </c>
      <c r="Q99" s="9" t="e">
        <f>+Q93*'Constants Pivot'!$N6/'Constants Pivot'!$N12/'Electric Vehicles'!$H25</f>
        <v>#DIV/0!</v>
      </c>
      <c r="R99" s="9" t="e">
        <f>+R93*'Constants Pivot'!$N6/'Constants Pivot'!$N12/'Electric Vehicles'!$H26</f>
        <v>#DIV/0!</v>
      </c>
      <c r="S99" s="9" t="e">
        <f>+S93*'Constants Pivot'!$N6/'Constants Pivot'!$N12/'Electric Vehicles'!$H27</f>
        <v>#DIV/0!</v>
      </c>
      <c r="T99" s="9">
        <f>+T93*'Constants Pivot'!$M6/'Constants Pivot'!$M12/'Electric Vehicles'!$H28</f>
        <v>59.644404933482399</v>
      </c>
      <c r="U99" s="9">
        <f>+U93*'Constants Pivot'!$M6/'Constants Pivot'!$M12/'Electric Vehicles'!$H29</f>
        <v>69.882924398843073</v>
      </c>
      <c r="V99" s="9">
        <f>+V93*'Constants Pivot'!$M6/'Constants Pivot'!$M12/'Electric Vehicles'!$H30</f>
        <v>84.01484061370077</v>
      </c>
      <c r="W99" s="9">
        <f>+W93*'Constants Pivot'!$M6/'Constants Pivot'!$M12/'Electric Vehicles'!$H31</f>
        <v>77.847686440491145</v>
      </c>
      <c r="X99" s="9">
        <f>+X93*'Constants Pivot'!$K6/'Constants Pivot'!$K12/'Electric Vehicles'!$H32</f>
        <v>57.749505053662595</v>
      </c>
      <c r="Y99" s="9">
        <f>+Y93*'Constants Pivot'!$K6/'Constants Pivot'!$K12/'Electric Vehicles'!$H33</f>
        <v>39.798523169590283</v>
      </c>
      <c r="Z99" s="9">
        <f>+Z93*'Constants Pivot'!$K6/'Constants Pivot'!$K12/'Electric Vehicles'!$H34</f>
        <v>73.77092670015341</v>
      </c>
      <c r="AA99" s="9">
        <f>+AA93*'Constants Pivot'!$K6/'Constants Pivot'!$K12/'Electric Vehicles'!$H35</f>
        <v>64.946501729939811</v>
      </c>
      <c r="AB99" s="9">
        <f>+AB93*'Constants Pivot'!$I6/'Constants Pivot'!$I12/'Electric Vehicles'!$H36</f>
        <v>64.039360310008192</v>
      </c>
      <c r="AC99" s="9">
        <f>+AC93*'Constants Pivot'!$I6/'Constants Pivot'!$I12/'Electric Vehicles'!$H37</f>
        <v>93.218657360690656</v>
      </c>
      <c r="AD99" s="9">
        <f>+AD93*'Constants Pivot'!$I6/'Constants Pivot'!$I12/'Electric Vehicles'!$H38</f>
        <v>112.26795257439969</v>
      </c>
      <c r="AE99" s="9">
        <f>+AE93*'Constants Pivot'!$I6/'Constants Pivot'!$I12/'Electric Vehicles'!$H39</f>
        <v>101.92681039958323</v>
      </c>
      <c r="AF99" s="9">
        <f>+AF93*'Constants Pivot'!$G6/'Constants Pivot'!$G12/'Electric Vehicles'!$H40</f>
        <v>98.697567418969854</v>
      </c>
      <c r="AG99" s="9">
        <f>+AG93*'Constants Pivot'!$G6/'Constants Pivot'!$G12/'Electric Vehicles'!$H41</f>
        <v>131.85012395423422</v>
      </c>
      <c r="AH99" s="9">
        <f>+AH93*'Constants Pivot'!$G6/'Constants Pivot'!$G12/'Electric Vehicles'!$H42</f>
        <v>155.65259440087257</v>
      </c>
      <c r="AI99" s="9">
        <f>+AI93*'Constants Pivot'!$G6/'Constants Pivot'!$G12/'Electric Vehicles'!$H43</f>
        <v>143.76313567146792</v>
      </c>
      <c r="AJ99" s="9">
        <f>+AJ93*'Constants Pivot'!$E6/'Constants Pivot'!$E12/'Electric Vehicles'!$H44</f>
        <v>121.00576718485564</v>
      </c>
      <c r="AK99" s="9">
        <f>+AK93*'Constants Pivot'!$E6/'Constants Pivot'!$E12/'Electric Vehicles'!$H45</f>
        <v>141.7656169686567</v>
      </c>
      <c r="AL99" s="9">
        <f>+AL93*'Constants Pivot'!$E6/'Constants Pivot'!$E12/'Electric Vehicles'!$H46</f>
        <v>172.25970196210619</v>
      </c>
      <c r="AM99" s="9">
        <f>+AM93*'Constants Pivot'!$E6/'Constants Pivot'!$E12/'Electric Vehicles'!$H47</f>
        <v>169.83932719985569</v>
      </c>
      <c r="AN99" s="9">
        <f>+AN93*'Constants Pivot'!$C6/'Constants Pivot'!$C12/'Electric Vehicles'!$H48</f>
        <v>129.76344225389715</v>
      </c>
      <c r="AO99" s="9">
        <f>+AO93*'Constants Pivot'!$C6/'Constants Pivot'!$C12/'Electric Vehicles'!$H49</f>
        <v>151.41254568908698</v>
      </c>
      <c r="AP99" s="9">
        <f>+AP93*'Constants Pivot'!$C6/'Constants Pivot'!$C12/'Electric Vehicles'!$H50</f>
        <v>180.58341382093104</v>
      </c>
      <c r="AQ99" s="9">
        <f>+AQ93*'Constants Pivot'!$C6/'Constants Pivot'!$C12/'Electric Vehicles'!$H50</f>
        <v>182.29232819401972</v>
      </c>
      <c r="AR99" s="9">
        <f>+AR93*'Constants Pivot'!$C6/'Constants Pivot'!$C12/'Electric Vehicles'!$H52</f>
        <v>159.3111846259859</v>
      </c>
      <c r="AS99" s="9">
        <f>+AS93*'Constants Pivot'!$C6/'Constants Pivot'!$C12/'Electric Vehicles'!$H53</f>
        <v>197.06337844274336</v>
      </c>
      <c r="AT99" s="9">
        <f>+AT93*'Constants Pivot'!$C6/'Constants Pivot'!$C12/'Electric Vehicles'!$H54</f>
        <v>212.17421947526833</v>
      </c>
      <c r="AU99" s="9">
        <f>+AU93*'Constants Pivot'!$C6/'Constants Pivot'!$C12/'Electric Vehicles'!$H55</f>
        <v>225.47444791138327</v>
      </c>
      <c r="AV99" s="9">
        <f>+AV93*'Constants Pivot'!$C6/'Constants Pivot'!$C12/'Electric Vehicles'!$H56</f>
        <v>232.59102428360148</v>
      </c>
      <c r="AW99" s="9">
        <f>+AW93*'Constants Pivot'!$C6/'Constants Pivot'!$C12/'Electric Vehicles'!$H57</f>
        <v>246.19437311737354</v>
      </c>
      <c r="AX99" s="9">
        <f>+AX93*'Constants Pivot'!$C6/'Constants Pivot'!$C12/'Electric Vehicles'!$H58</f>
        <v>261.89746535475274</v>
      </c>
      <c r="AY99" s="9">
        <f>+AY93*'Constants Pivot'!$C6/'Constants Pivot'!$C12/'Electric Vehicles'!$H59</f>
        <v>275.22654061922998</v>
      </c>
    </row>
    <row r="100" spans="7:51" x14ac:dyDescent="0.3">
      <c r="G100" s="93" t="s">
        <v>94</v>
      </c>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104">
        <v>83000</v>
      </c>
      <c r="AS100" s="104">
        <v>90000</v>
      </c>
      <c r="AT100" s="104">
        <v>97000</v>
      </c>
      <c r="AU100" s="104">
        <v>102000</v>
      </c>
      <c r="AV100" s="104">
        <v>107000</v>
      </c>
      <c r="AW100" s="104">
        <v>112000</v>
      </c>
      <c r="AX100" s="104">
        <v>117000</v>
      </c>
      <c r="AY100" s="104">
        <v>122000</v>
      </c>
    </row>
    <row r="101" spans="7:51" x14ac:dyDescent="0.3">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row>
    <row r="102" spans="7:51" ht="15" thickBot="1" x14ac:dyDescent="0.35">
      <c r="G102" s="20" t="s">
        <v>95</v>
      </c>
      <c r="H102" s="37">
        <f t="shared" ref="H102:AC102" si="118">H14</f>
        <v>0</v>
      </c>
      <c r="I102" s="37">
        <f t="shared" si="118"/>
        <v>0</v>
      </c>
      <c r="J102" s="37">
        <f t="shared" si="118"/>
        <v>0</v>
      </c>
      <c r="K102" s="37">
        <f t="shared" si="118"/>
        <v>0</v>
      </c>
      <c r="L102" s="37">
        <f t="shared" si="118"/>
        <v>0</v>
      </c>
      <c r="M102" s="37">
        <f t="shared" si="118"/>
        <v>0</v>
      </c>
      <c r="N102" s="37">
        <f t="shared" si="118"/>
        <v>0</v>
      </c>
      <c r="O102" s="37">
        <f t="shared" si="118"/>
        <v>0</v>
      </c>
      <c r="P102" s="37">
        <f t="shared" si="118"/>
        <v>431079</v>
      </c>
      <c r="Q102" s="37">
        <f t="shared" si="118"/>
        <v>422832</v>
      </c>
      <c r="R102" s="37">
        <f t="shared" si="118"/>
        <v>440204</v>
      </c>
      <c r="S102" s="37">
        <f t="shared" si="118"/>
        <v>433671</v>
      </c>
      <c r="T102" s="37">
        <f t="shared" si="118"/>
        <v>477625</v>
      </c>
      <c r="U102" s="37">
        <f t="shared" si="118"/>
        <v>490452</v>
      </c>
      <c r="V102" s="37">
        <f t="shared" si="118"/>
        <v>605468</v>
      </c>
      <c r="W102" s="37">
        <f t="shared" si="118"/>
        <v>647037</v>
      </c>
      <c r="X102" s="37">
        <f t="shared" si="118"/>
        <v>690933</v>
      </c>
      <c r="Y102" s="37">
        <f t="shared" si="118"/>
        <v>710134</v>
      </c>
      <c r="Z102" s="37">
        <f t="shared" si="118"/>
        <v>871512</v>
      </c>
      <c r="AA102" s="37">
        <f t="shared" si="118"/>
        <v>961477</v>
      </c>
      <c r="AB102" s="37">
        <f t="shared" si="118"/>
        <v>969710</v>
      </c>
      <c r="AC102" s="37">
        <f t="shared" si="118"/>
        <v>1280664</v>
      </c>
      <c r="AD102" s="37">
        <f>AD14</f>
        <v>1312785</v>
      </c>
      <c r="AE102" s="37">
        <f>AE14</f>
        <v>1412985</v>
      </c>
      <c r="AF102" s="37">
        <f>AF14</f>
        <v>1557283</v>
      </c>
      <c r="AG102" s="37">
        <f>AG14</f>
        <v>1557120</v>
      </c>
      <c r="AH102" s="37">
        <f>AH14</f>
        <v>1524201</v>
      </c>
      <c r="AI102" s="37">
        <f t="shared" ref="AI102:AP102" si="119">AI14</f>
        <v>1701933</v>
      </c>
      <c r="AJ102" s="37">
        <f t="shared" si="119"/>
        <v>925691</v>
      </c>
      <c r="AK102" s="37">
        <f t="shared" si="119"/>
        <v>1182322</v>
      </c>
      <c r="AL102" s="37">
        <f t="shared" si="119"/>
        <v>1082898</v>
      </c>
      <c r="AM102" s="37">
        <f t="shared" si="119"/>
        <v>1131100</v>
      </c>
      <c r="AN102" s="37">
        <f t="shared" si="119"/>
        <v>1119864</v>
      </c>
      <c r="AO102" s="37">
        <f t="shared" si="119"/>
        <v>1075270</v>
      </c>
      <c r="AP102" s="37">
        <f t="shared" si="119"/>
        <v>937944</v>
      </c>
      <c r="AQ102" s="37">
        <f t="shared" ref="AQ102" si="120">AQ14</f>
        <v>1011444</v>
      </c>
      <c r="AR102" s="60">
        <f>+AN102*(1+GR_eof_T1)</f>
        <v>1231850.4000000001</v>
      </c>
      <c r="AS102" s="60">
        <f>+AO102*(1+GR_eof_T1)</f>
        <v>1182797</v>
      </c>
      <c r="AT102" s="60">
        <f>+AP102*(1+GR_eof_T1)</f>
        <v>1031738.4000000001</v>
      </c>
      <c r="AU102" s="60">
        <f>+AQ102*(1+GR_eof_T1)</f>
        <v>1112588.4000000001</v>
      </c>
      <c r="AV102" s="60">
        <f>+AR102*(1+GR_eof_T0)</f>
        <v>1416627.96</v>
      </c>
      <c r="AW102" s="60">
        <f>+AS102*(1+GR_eof_T0)</f>
        <v>1360216.5499999998</v>
      </c>
      <c r="AX102" s="60">
        <f>+AT102*(1+GR_eof_T0)</f>
        <v>1186499.1600000001</v>
      </c>
      <c r="AY102" s="60">
        <f>+AU102*(1+GR_eof_T0)</f>
        <v>1279476.6600000001</v>
      </c>
    </row>
    <row r="103" spans="7:51" x14ac:dyDescent="0.3">
      <c r="G103" s="69" t="s">
        <v>85</v>
      </c>
      <c r="H103" s="70"/>
      <c r="I103" s="70"/>
      <c r="J103" s="70"/>
      <c r="K103" s="70"/>
      <c r="L103" s="71"/>
      <c r="M103" s="71"/>
      <c r="N103" s="71"/>
      <c r="O103" s="71"/>
      <c r="P103" s="71"/>
      <c r="Q103" s="71"/>
      <c r="R103" s="71"/>
      <c r="S103" s="71"/>
      <c r="T103" s="71">
        <f t="shared" ref="T103:AC103" si="121">T102/P102-1</f>
        <v>0.10797556828330768</v>
      </c>
      <c r="U103" s="71">
        <f t="shared" si="121"/>
        <v>0.1599216710182767</v>
      </c>
      <c r="V103" s="71">
        <f t="shared" si="121"/>
        <v>0.37542593888288156</v>
      </c>
      <c r="W103" s="71">
        <f t="shared" si="121"/>
        <v>0.49199969562179624</v>
      </c>
      <c r="X103" s="71">
        <f>X102/T102-1</f>
        <v>0.4466014132426066</v>
      </c>
      <c r="Y103" s="71">
        <f>Y102/U102-1</f>
        <v>0.44791743126748385</v>
      </c>
      <c r="Z103" s="71">
        <f>Z102/V102-1</f>
        <v>0.43940224751762269</v>
      </c>
      <c r="AA103" s="71">
        <f t="shared" si="121"/>
        <v>0.48596911768569639</v>
      </c>
      <c r="AB103" s="71">
        <f t="shared" si="121"/>
        <v>0.40347906381660747</v>
      </c>
      <c r="AC103" s="71">
        <f t="shared" si="121"/>
        <v>0.80341175045836422</v>
      </c>
      <c r="AD103" s="71">
        <f t="shared" ref="AD103:AM103" si="122">AD102/Z102-1</f>
        <v>0.50633037755073951</v>
      </c>
      <c r="AE103" s="71">
        <f t="shared" si="122"/>
        <v>0.46959833672568352</v>
      </c>
      <c r="AF103" s="71">
        <f t="shared" si="122"/>
        <v>0.60592651411246656</v>
      </c>
      <c r="AG103" s="71">
        <f t="shared" si="122"/>
        <v>0.21586926781731974</v>
      </c>
      <c r="AH103" s="71">
        <f>AH102/AD102-1</f>
        <v>0.16104388761297539</v>
      </c>
      <c r="AI103" s="71">
        <f t="shared" si="122"/>
        <v>0.20449473985923428</v>
      </c>
      <c r="AJ103" s="71">
        <f t="shared" si="122"/>
        <v>-0.4055730397108297</v>
      </c>
      <c r="AK103" s="71">
        <f t="shared" si="122"/>
        <v>-0.24069949650637068</v>
      </c>
      <c r="AL103" s="71">
        <f>AL102/AH102-1</f>
        <v>-0.28953071150064857</v>
      </c>
      <c r="AM103" s="71">
        <f t="shared" si="122"/>
        <v>-0.33540274499642464</v>
      </c>
      <c r="AN103" s="71">
        <f t="shared" ref="AN103:AU103" si="123">AN102/AJ102-1</f>
        <v>0.20976006032250494</v>
      </c>
      <c r="AO103" s="71">
        <f t="shared" si="123"/>
        <v>-9.0543861993602426E-2</v>
      </c>
      <c r="AP103" s="71">
        <f t="shared" si="123"/>
        <v>-0.13385748242216722</v>
      </c>
      <c r="AQ103" s="71">
        <f t="shared" si="123"/>
        <v>-0.10578728671205018</v>
      </c>
      <c r="AR103" s="71">
        <f t="shared" si="123"/>
        <v>0.10000000000000009</v>
      </c>
      <c r="AS103" s="71">
        <f t="shared" si="123"/>
        <v>0.10000000000000009</v>
      </c>
      <c r="AT103" s="71">
        <f t="shared" si="123"/>
        <v>0.10000000000000009</v>
      </c>
      <c r="AU103" s="71">
        <f t="shared" si="123"/>
        <v>0.10000000000000009</v>
      </c>
      <c r="AV103" s="71">
        <f t="shared" ref="AV103" si="124">AV102/AR102-1</f>
        <v>0.14999999999999991</v>
      </c>
      <c r="AW103" s="71">
        <f t="shared" ref="AW103" si="125">AW102/AS102-1</f>
        <v>0.14999999999999991</v>
      </c>
      <c r="AX103" s="71">
        <f t="shared" ref="AX103" si="126">AX102/AT102-1</f>
        <v>0.14999999999999991</v>
      </c>
      <c r="AY103" s="71">
        <f t="shared" ref="AY103" si="127">AY102/AU102-1</f>
        <v>0.14999999999999991</v>
      </c>
    </row>
    <row r="105" spans="7:51" x14ac:dyDescent="0.3">
      <c r="G105" t="s">
        <v>96</v>
      </c>
      <c r="H105" s="9">
        <f>H108-H106</f>
        <v>47943</v>
      </c>
      <c r="I105" s="9">
        <f t="shared" ref="I105:V105" si="128">I108-I106</f>
        <v>83528</v>
      </c>
      <c r="J105" s="9">
        <f t="shared" si="128"/>
        <v>253634</v>
      </c>
      <c r="K105" s="9">
        <f t="shared" si="128"/>
        <v>212523</v>
      </c>
      <c r="L105" s="9">
        <f t="shared" si="128"/>
        <v>234489</v>
      </c>
      <c r="M105" s="9">
        <f t="shared" si="128"/>
        <v>224760</v>
      </c>
      <c r="N105" s="9">
        <f t="shared" si="128"/>
        <v>249108</v>
      </c>
      <c r="O105" s="9">
        <f t="shared" si="128"/>
        <v>205208</v>
      </c>
      <c r="P105" s="9">
        <f t="shared" si="128"/>
        <v>384239</v>
      </c>
      <c r="Q105" s="9">
        <f t="shared" si="128"/>
        <v>347096</v>
      </c>
      <c r="R105" s="9">
        <f t="shared" si="128"/>
        <v>321758</v>
      </c>
      <c r="S105" s="9">
        <f t="shared" si="128"/>
        <v>318872</v>
      </c>
      <c r="T105" s="9">
        <f t="shared" si="128"/>
        <v>290888</v>
      </c>
      <c r="U105" s="9">
        <f t="shared" si="128"/>
        <v>282893</v>
      </c>
      <c r="V105" s="9">
        <f t="shared" si="128"/>
        <v>307647</v>
      </c>
      <c r="W105" s="9">
        <f t="shared" ref="W105:AE105" si="129">W108-W106</f>
        <v>208352</v>
      </c>
      <c r="X105" s="9">
        <f t="shared" si="129"/>
        <v>178449</v>
      </c>
      <c r="Y105" s="9">
        <f t="shared" si="129"/>
        <v>91495</v>
      </c>
      <c r="Z105" s="9">
        <f t="shared" si="129"/>
        <v>47367</v>
      </c>
      <c r="AA105" s="9">
        <f t="shared" si="129"/>
        <v>53690</v>
      </c>
      <c r="AB105" s="9">
        <f t="shared" si="129"/>
        <v>143044</v>
      </c>
      <c r="AC105" s="9">
        <f t="shared" si="129"/>
        <v>136044</v>
      </c>
      <c r="AD105" s="9">
        <f t="shared" si="129"/>
        <v>38772</v>
      </c>
      <c r="AE105" s="9">
        <f t="shared" si="129"/>
        <v>9307</v>
      </c>
      <c r="AF105" s="9">
        <f t="shared" ref="AF105:AK105" si="130">AF108-AF106</f>
        <v>2157</v>
      </c>
      <c r="AG105" s="9">
        <f t="shared" si="130"/>
        <v>77470</v>
      </c>
      <c r="AH105" s="9">
        <f t="shared" si="130"/>
        <v>74447</v>
      </c>
      <c r="AI105" s="9">
        <f t="shared" si="130"/>
        <v>84442</v>
      </c>
      <c r="AJ105" s="9">
        <f t="shared" si="130"/>
        <v>7924</v>
      </c>
      <c r="AK105" s="9">
        <f t="shared" si="130"/>
        <v>9987</v>
      </c>
      <c r="AL105" s="9">
        <f t="shared" ref="AL105:AM105" si="131">AL108-AL106</f>
        <v>10469</v>
      </c>
      <c r="AM105" s="9">
        <f t="shared" si="131"/>
        <v>8195</v>
      </c>
      <c r="AN105" s="9">
        <f t="shared" ref="AN105:AO105" si="132">AN108-AN106</f>
        <v>2935</v>
      </c>
      <c r="AO105" s="9">
        <f t="shared" si="132"/>
        <v>7956</v>
      </c>
      <c r="AP105" s="9">
        <f t="shared" ref="AP105:AQ105" si="133">AP108-AP106</f>
        <v>3113</v>
      </c>
      <c r="AQ105" s="9">
        <f t="shared" si="133"/>
        <v>3129</v>
      </c>
      <c r="AR105" s="9">
        <f t="shared" ref="AR105" si="134">AR108-AR106</f>
        <v>3413</v>
      </c>
      <c r="AS105" s="9">
        <f t="shared" ref="AS105:AU105" si="135">AS108-AS106</f>
        <v>10401.957000000053</v>
      </c>
      <c r="AT105" s="9">
        <f t="shared" si="135"/>
        <v>10569.875400000019</v>
      </c>
      <c r="AU105" s="9">
        <f t="shared" si="135"/>
        <v>10336.462199999951</v>
      </c>
      <c r="AV105" s="9">
        <f t="shared" ref="AV105:AY105" si="136">AV108-AV106</f>
        <v>9713.3817500000587</v>
      </c>
      <c r="AW105" s="9">
        <f t="shared" si="136"/>
        <v>10766.025494999951</v>
      </c>
      <c r="AX105" s="9">
        <f t="shared" si="136"/>
        <v>10939.82103900006</v>
      </c>
      <c r="AY105" s="9">
        <f t="shared" si="136"/>
        <v>10698.238376999972</v>
      </c>
    </row>
    <row r="106" spans="7:51" x14ac:dyDescent="0.3">
      <c r="G106" t="s">
        <v>97</v>
      </c>
      <c r="H106" s="9">
        <f t="shared" ref="H106:AE106" si="137">SUM(H10:H11)</f>
        <v>88727</v>
      </c>
      <c r="I106" s="9">
        <f t="shared" si="137"/>
        <v>81346</v>
      </c>
      <c r="J106" s="9">
        <f t="shared" si="137"/>
        <v>316051</v>
      </c>
      <c r="K106" s="9">
        <f t="shared" si="137"/>
        <v>428481</v>
      </c>
      <c r="L106" s="9">
        <f t="shared" si="137"/>
        <v>419136</v>
      </c>
      <c r="M106" s="9">
        <f t="shared" si="137"/>
        <v>539292</v>
      </c>
      <c r="N106" s="9">
        <f t="shared" si="137"/>
        <v>466742</v>
      </c>
      <c r="O106" s="9">
        <f t="shared" si="137"/>
        <v>436099</v>
      </c>
      <c r="P106" s="9">
        <f t="shared" si="137"/>
        <v>271827</v>
      </c>
      <c r="Q106" s="9">
        <f t="shared" si="137"/>
        <v>434690</v>
      </c>
      <c r="R106" s="9">
        <f t="shared" si="137"/>
        <v>474288</v>
      </c>
      <c r="S106" s="9">
        <f t="shared" si="137"/>
        <v>538529</v>
      </c>
      <c r="T106" s="9">
        <f t="shared" si="137"/>
        <v>503705</v>
      </c>
      <c r="U106" s="9">
        <f t="shared" si="137"/>
        <v>555522</v>
      </c>
      <c r="V106" s="9">
        <f t="shared" si="137"/>
        <v>556925</v>
      </c>
      <c r="W106" s="9">
        <f t="shared" si="137"/>
        <v>607911</v>
      </c>
      <c r="X106" s="9">
        <f t="shared" si="137"/>
        <v>655128</v>
      </c>
      <c r="Y106" s="9">
        <f t="shared" si="137"/>
        <v>708890</v>
      </c>
      <c r="Z106" s="9">
        <f t="shared" si="137"/>
        <v>760435</v>
      </c>
      <c r="AA106" s="9">
        <f t="shared" si="137"/>
        <v>794888</v>
      </c>
      <c r="AB106" s="9">
        <f t="shared" si="137"/>
        <v>748636</v>
      </c>
      <c r="AC106" s="9">
        <f t="shared" si="137"/>
        <v>818593</v>
      </c>
      <c r="AD106" s="9">
        <f t="shared" si="137"/>
        <v>945322</v>
      </c>
      <c r="AE106" s="9">
        <f t="shared" si="137"/>
        <v>971285</v>
      </c>
      <c r="AF106" s="9">
        <f t="shared" ref="AF106:AK106" si="138">SUM(AF10:AF11)</f>
        <v>920221</v>
      </c>
      <c r="AG106" s="9">
        <f t="shared" si="138"/>
        <v>906921</v>
      </c>
      <c r="AH106" s="9">
        <f t="shared" si="138"/>
        <v>957070</v>
      </c>
      <c r="AI106" s="9">
        <f t="shared" si="138"/>
        <v>935560</v>
      </c>
      <c r="AJ106" s="9">
        <f t="shared" si="138"/>
        <v>985389</v>
      </c>
      <c r="AK106" s="9">
        <f t="shared" si="138"/>
        <v>990371</v>
      </c>
      <c r="AL106" s="9">
        <f t="shared" ref="AL106:AM106" si="139">SUM(AL10:AL11)</f>
        <v>981748</v>
      </c>
      <c r="AM106" s="9">
        <f t="shared" si="139"/>
        <v>965938</v>
      </c>
      <c r="AN106" s="9">
        <f t="shared" ref="AN106:AO106" si="140">SUM(AN10:AN11)</f>
        <v>918084</v>
      </c>
      <c r="AO106" s="9">
        <f t="shared" si="140"/>
        <v>997064</v>
      </c>
      <c r="AP106" s="9">
        <f t="shared" ref="AP106:AQ106" si="141">SUM(AP10:AP11)</f>
        <v>1018131</v>
      </c>
      <c r="AQ106" s="9">
        <f t="shared" si="141"/>
        <v>995563</v>
      </c>
      <c r="AR106" s="9">
        <f t="shared" ref="AR106" si="142">SUM(AR10:AR11)</f>
        <v>944234</v>
      </c>
      <c r="AS106" s="9">
        <f t="shared" ref="AS106:AU106" si="143">AS108*AS107</f>
        <v>1029793.7429999999</v>
      </c>
      <c r="AT106" s="9">
        <f t="shared" si="143"/>
        <v>1046417.6645999998</v>
      </c>
      <c r="AU106" s="9">
        <f t="shared" si="143"/>
        <v>1023309.7578</v>
      </c>
      <c r="AV106" s="9">
        <f t="shared" ref="AV106:AY106" si="144">AV108*AV107</f>
        <v>961624.79324999987</v>
      </c>
      <c r="AW106" s="9">
        <f t="shared" si="144"/>
        <v>1065836.524005</v>
      </c>
      <c r="AX106" s="9">
        <f t="shared" si="144"/>
        <v>1083042.2828609997</v>
      </c>
      <c r="AY106" s="9">
        <f t="shared" si="144"/>
        <v>1059125.5993229998</v>
      </c>
    </row>
    <row r="107" spans="7:51" x14ac:dyDescent="0.3">
      <c r="G107" s="16" t="s">
        <v>83</v>
      </c>
      <c r="H107" s="36">
        <f>H106/H108</f>
        <v>0.64920611692397745</v>
      </c>
      <c r="I107" s="36">
        <f t="shared" ref="I107:V107" si="145">I106/I108</f>
        <v>0.49338282567293812</v>
      </c>
      <c r="J107" s="36">
        <f t="shared" si="145"/>
        <v>0.55478202866496396</v>
      </c>
      <c r="K107" s="36">
        <f t="shared" si="145"/>
        <v>0.66845292697081449</v>
      </c>
      <c r="L107" s="36">
        <f t="shared" si="145"/>
        <v>0.64124842226047041</v>
      </c>
      <c r="M107" s="36">
        <f t="shared" si="145"/>
        <v>0.70583154026165762</v>
      </c>
      <c r="N107" s="36">
        <f t="shared" si="145"/>
        <v>0.652010896137459</v>
      </c>
      <c r="O107" s="36">
        <f t="shared" si="145"/>
        <v>0.68001596739159254</v>
      </c>
      <c r="P107" s="36">
        <f t="shared" si="145"/>
        <v>0.41432874131566033</v>
      </c>
      <c r="Q107" s="36">
        <f t="shared" si="145"/>
        <v>0.55602172461517607</v>
      </c>
      <c r="R107" s="36">
        <f t="shared" si="145"/>
        <v>0.59580476505126589</v>
      </c>
      <c r="S107" s="36">
        <f t="shared" si="145"/>
        <v>0.62809467215456949</v>
      </c>
      <c r="T107" s="36">
        <f t="shared" si="145"/>
        <v>0.63391572792612072</v>
      </c>
      <c r="U107" s="36">
        <f t="shared" si="145"/>
        <v>0.66258595087158512</v>
      </c>
      <c r="V107" s="36">
        <f t="shared" si="145"/>
        <v>0.64416266083102391</v>
      </c>
      <c r="W107" s="36">
        <f t="shared" ref="W107:AE107" si="146">W106/W108</f>
        <v>0.74474893508587303</v>
      </c>
      <c r="X107" s="36">
        <f t="shared" si="146"/>
        <v>0.78592379588208405</v>
      </c>
      <c r="Y107" s="36">
        <f t="shared" si="146"/>
        <v>0.88568626348569746</v>
      </c>
      <c r="Z107" s="36">
        <f t="shared" si="146"/>
        <v>0.94136310630575315</v>
      </c>
      <c r="AA107" s="36">
        <f t="shared" si="146"/>
        <v>0.93672944620294185</v>
      </c>
      <c r="AB107" s="36">
        <f t="shared" si="146"/>
        <v>0.83957922124528983</v>
      </c>
      <c r="AC107" s="36">
        <f t="shared" si="146"/>
        <v>0.85749138154083704</v>
      </c>
      <c r="AD107" s="36">
        <f t="shared" si="146"/>
        <v>0.96060132467020432</v>
      </c>
      <c r="AE107" s="36">
        <f t="shared" si="146"/>
        <v>0.99050879468729092</v>
      </c>
      <c r="AF107" s="36">
        <f t="shared" ref="AF107:AK107" si="147">AF106/AF108</f>
        <v>0.99766147935011462</v>
      </c>
      <c r="AG107" s="36">
        <f t="shared" si="147"/>
        <v>0.92130159662166766</v>
      </c>
      <c r="AH107" s="36">
        <f t="shared" si="147"/>
        <v>0.9278276557730023</v>
      </c>
      <c r="AI107" s="36">
        <f t="shared" si="147"/>
        <v>0.91721388781590629</v>
      </c>
      <c r="AJ107" s="84">
        <f t="shared" si="147"/>
        <v>0.9920226554973105</v>
      </c>
      <c r="AK107" s="84">
        <f t="shared" si="147"/>
        <v>0.99001657406648425</v>
      </c>
      <c r="AL107" s="84">
        <f t="shared" ref="AL107:AM107" si="148">AL106/AL108</f>
        <v>0.98944888063800562</v>
      </c>
      <c r="AM107" s="84">
        <f t="shared" si="148"/>
        <v>0.99158739104413873</v>
      </c>
      <c r="AN107" s="84">
        <f t="shared" ref="AN107:AO107" si="149">AN106/AN108</f>
        <v>0.99681331221180014</v>
      </c>
      <c r="AO107" s="84">
        <f t="shared" si="149"/>
        <v>0.99208373962707208</v>
      </c>
      <c r="AP107" s="84">
        <f t="shared" ref="AP107:AQ107" si="150">AP106/AP108</f>
        <v>0.99695175687690696</v>
      </c>
      <c r="AQ107" s="84">
        <f t="shared" si="150"/>
        <v>0.99686690190769522</v>
      </c>
      <c r="AR107" s="84">
        <f t="shared" ref="AR107" si="151">AR106/AR108</f>
        <v>0.99639844794527921</v>
      </c>
      <c r="AS107" s="36">
        <f t="shared" ref="AS107:AY107" si="152">BR_bgs_T0</f>
        <v>0.99</v>
      </c>
      <c r="AT107" s="36">
        <f t="shared" si="152"/>
        <v>0.99</v>
      </c>
      <c r="AU107" s="36">
        <f t="shared" si="152"/>
        <v>0.99</v>
      </c>
      <c r="AV107" s="36">
        <f t="shared" si="152"/>
        <v>0.99</v>
      </c>
      <c r="AW107" s="36">
        <f t="shared" si="152"/>
        <v>0.99</v>
      </c>
      <c r="AX107" s="36">
        <f t="shared" si="152"/>
        <v>0.99</v>
      </c>
      <c r="AY107" s="36">
        <f t="shared" si="152"/>
        <v>0.99</v>
      </c>
    </row>
    <row r="108" spans="7:51" ht="15" thickBot="1" x14ac:dyDescent="0.35">
      <c r="G108" s="20" t="s">
        <v>98</v>
      </c>
      <c r="H108" s="37">
        <f>SUM(H10,H11,H20,H21)</f>
        <v>136670</v>
      </c>
      <c r="I108" s="37">
        <f t="shared" ref="I108:AE108" si="153">SUM(I10,I11,I20,I21)</f>
        <v>164874</v>
      </c>
      <c r="J108" s="37">
        <f t="shared" si="153"/>
        <v>569685</v>
      </c>
      <c r="K108" s="37">
        <f t="shared" si="153"/>
        <v>641004</v>
      </c>
      <c r="L108" s="37">
        <f t="shared" si="153"/>
        <v>653625</v>
      </c>
      <c r="M108" s="37">
        <f t="shared" si="153"/>
        <v>764052</v>
      </c>
      <c r="N108" s="37">
        <f t="shared" si="153"/>
        <v>715850</v>
      </c>
      <c r="O108" s="37">
        <f t="shared" si="153"/>
        <v>641307</v>
      </c>
      <c r="P108" s="37">
        <f t="shared" si="153"/>
        <v>656066</v>
      </c>
      <c r="Q108" s="37">
        <f t="shared" si="153"/>
        <v>781786</v>
      </c>
      <c r="R108" s="37">
        <f t="shared" si="153"/>
        <v>796046</v>
      </c>
      <c r="S108" s="37">
        <f t="shared" si="153"/>
        <v>857401</v>
      </c>
      <c r="T108" s="37">
        <f t="shared" si="153"/>
        <v>794593</v>
      </c>
      <c r="U108" s="37">
        <f t="shared" si="153"/>
        <v>838415</v>
      </c>
      <c r="V108" s="37">
        <f t="shared" si="153"/>
        <v>864572</v>
      </c>
      <c r="W108" s="37">
        <f t="shared" si="153"/>
        <v>816263</v>
      </c>
      <c r="X108" s="37">
        <f t="shared" si="153"/>
        <v>833577</v>
      </c>
      <c r="Y108" s="37">
        <f t="shared" si="153"/>
        <v>800385</v>
      </c>
      <c r="Z108" s="37">
        <f t="shared" si="153"/>
        <v>807802</v>
      </c>
      <c r="AA108" s="37">
        <f t="shared" si="153"/>
        <v>848578</v>
      </c>
      <c r="AB108" s="37">
        <f t="shared" si="153"/>
        <v>891680</v>
      </c>
      <c r="AC108" s="37">
        <f t="shared" si="153"/>
        <v>954637</v>
      </c>
      <c r="AD108" s="37">
        <f t="shared" si="153"/>
        <v>984094</v>
      </c>
      <c r="AE108" s="37">
        <f t="shared" si="153"/>
        <v>980592</v>
      </c>
      <c r="AF108" s="37">
        <f t="shared" ref="AF108:AK108" si="154">SUM(AF10,AF11,AF20,AF21)</f>
        <v>922378</v>
      </c>
      <c r="AG108" s="37">
        <f t="shared" si="154"/>
        <v>984391</v>
      </c>
      <c r="AH108" s="37">
        <f t="shared" si="154"/>
        <v>1031517</v>
      </c>
      <c r="AI108" s="37">
        <f t="shared" si="154"/>
        <v>1020002</v>
      </c>
      <c r="AJ108" s="37">
        <f t="shared" si="154"/>
        <v>993313</v>
      </c>
      <c r="AK108" s="37">
        <f t="shared" si="154"/>
        <v>1000358</v>
      </c>
      <c r="AL108" s="37">
        <f t="shared" ref="AL108:AM108" si="155">SUM(AL10,AL11,AL20,AL21)</f>
        <v>992217</v>
      </c>
      <c r="AM108" s="37">
        <f t="shared" si="155"/>
        <v>974133</v>
      </c>
      <c r="AN108" s="37">
        <f t="shared" ref="AN108:AO108" si="156">SUM(AN10,AN11,AN20,AN21)</f>
        <v>921019</v>
      </c>
      <c r="AO108" s="37">
        <f t="shared" si="156"/>
        <v>1005020</v>
      </c>
      <c r="AP108" s="37">
        <f t="shared" ref="AP108:AQ108" si="157">SUM(AP10,AP11,AP20,AP21)</f>
        <v>1021244</v>
      </c>
      <c r="AQ108" s="37">
        <f t="shared" si="157"/>
        <v>998692</v>
      </c>
      <c r="AR108" s="37">
        <f t="shared" ref="AR108" si="158">SUM(AR10,AR11,AR20,AR21)</f>
        <v>947647</v>
      </c>
      <c r="AS108" s="68">
        <f>AO108*(1+GR_ng_T1)</f>
        <v>1040195.7</v>
      </c>
      <c r="AT108" s="68">
        <f>AP108*(1+GR_ng_T1)</f>
        <v>1056987.5399999998</v>
      </c>
      <c r="AU108" s="68">
        <f>AQ108*(1+GR_ng_T1)</f>
        <v>1033646.22</v>
      </c>
      <c r="AV108" s="68">
        <f>AR108*(1+GR_ng_T0)</f>
        <v>971338.17499999993</v>
      </c>
      <c r="AW108" s="68">
        <f>AS108*(1+GR_ng_T1)</f>
        <v>1076602.5495</v>
      </c>
      <c r="AX108" s="68">
        <f>AT108*(1+GR_ng_T1)</f>
        <v>1093982.1038999998</v>
      </c>
      <c r="AY108" s="68">
        <f>AU108*(1+GR_ng_T1)</f>
        <v>1069823.8376999998</v>
      </c>
    </row>
    <row r="109" spans="7:51" x14ac:dyDescent="0.3">
      <c r="G109" s="69" t="s">
        <v>85</v>
      </c>
      <c r="H109" s="70"/>
      <c r="I109" s="70"/>
      <c r="J109" s="70"/>
      <c r="K109" s="70"/>
      <c r="L109" s="71">
        <f t="shared" ref="L109:AA109" si="159">L108/H108-1</f>
        <v>3.782505304748665</v>
      </c>
      <c r="M109" s="71">
        <f t="shared" si="159"/>
        <v>3.6341569926125405</v>
      </c>
      <c r="N109" s="71">
        <f t="shared" si="159"/>
        <v>0.25657161413763752</v>
      </c>
      <c r="O109" s="71">
        <f t="shared" si="159"/>
        <v>4.726959582155299E-4</v>
      </c>
      <c r="P109" s="71">
        <f t="shared" si="159"/>
        <v>3.7345572767260027E-3</v>
      </c>
      <c r="Q109" s="71">
        <f t="shared" si="159"/>
        <v>2.3210462115144104E-2</v>
      </c>
      <c r="R109" s="71">
        <f t="shared" si="159"/>
        <v>0.11202905636655713</v>
      </c>
      <c r="S109" s="71">
        <f t="shared" si="159"/>
        <v>0.33695874206893106</v>
      </c>
      <c r="T109" s="71">
        <f t="shared" si="159"/>
        <v>0.21114796377193756</v>
      </c>
      <c r="U109" s="71">
        <f t="shared" si="159"/>
        <v>7.2435423504641827E-2</v>
      </c>
      <c r="V109" s="71">
        <f t="shared" si="159"/>
        <v>8.6082965054783189E-2</v>
      </c>
      <c r="W109" s="71">
        <f t="shared" si="159"/>
        <v>-4.7979883391785161E-2</v>
      </c>
      <c r="X109" s="71">
        <f>X108/T108-1</f>
        <v>4.9061595055581941E-2</v>
      </c>
      <c r="Y109" s="71">
        <f>Y108/U108-1</f>
        <v>-4.5359398388626126E-2</v>
      </c>
      <c r="Z109" s="71">
        <f>Z108/V108-1</f>
        <v>-6.5662547480140443E-2</v>
      </c>
      <c r="AA109" s="71">
        <f t="shared" si="159"/>
        <v>3.9588956010501608E-2</v>
      </c>
      <c r="AB109" s="71">
        <f t="shared" ref="AB109:AK109" si="160">AB108/X108-1</f>
        <v>6.9703218778829124E-2</v>
      </c>
      <c r="AC109" s="71">
        <f t="shared" si="160"/>
        <v>0.19272225241602481</v>
      </c>
      <c r="AD109" s="71">
        <f t="shared" si="160"/>
        <v>0.21823664709916546</v>
      </c>
      <c r="AE109" s="71">
        <f t="shared" si="160"/>
        <v>0.15557084911463659</v>
      </c>
      <c r="AF109" s="71">
        <f t="shared" si="160"/>
        <v>3.4427148752915748E-2</v>
      </c>
      <c r="AG109" s="71">
        <f t="shared" si="160"/>
        <v>3.1167867995897991E-2</v>
      </c>
      <c r="AH109" s="71">
        <f t="shared" si="160"/>
        <v>4.8189502222348635E-2</v>
      </c>
      <c r="AI109" s="71">
        <f t="shared" si="160"/>
        <v>4.0190007668836847E-2</v>
      </c>
      <c r="AJ109" s="71">
        <f t="shared" si="160"/>
        <v>7.6904479508401069E-2</v>
      </c>
      <c r="AK109" s="71">
        <f t="shared" si="160"/>
        <v>1.6220180802140716E-2</v>
      </c>
      <c r="AL109" s="71">
        <f t="shared" ref="AL109" si="161">AL108/AH108-1</f>
        <v>-3.8099226672948627E-2</v>
      </c>
      <c r="AM109" s="71">
        <f t="shared" ref="AM109" si="162">AM108/AI108-1</f>
        <v>-4.4969519667608537E-2</v>
      </c>
      <c r="AN109" s="71">
        <f t="shared" ref="AN109:AU109" si="163">AN108/AJ108-1</f>
        <v>-7.2780684436829057E-2</v>
      </c>
      <c r="AO109" s="71">
        <f t="shared" si="163"/>
        <v>4.6603316012867602E-3</v>
      </c>
      <c r="AP109" s="71">
        <f t="shared" si="163"/>
        <v>2.925468924640473E-2</v>
      </c>
      <c r="AQ109" s="71">
        <f t="shared" si="163"/>
        <v>2.5211136466991579E-2</v>
      </c>
      <c r="AR109" s="71">
        <f t="shared" si="163"/>
        <v>2.8911455681153164E-2</v>
      </c>
      <c r="AS109" s="71">
        <f t="shared" si="163"/>
        <v>3.499999999999992E-2</v>
      </c>
      <c r="AT109" s="71">
        <f t="shared" si="163"/>
        <v>3.4999999999999698E-2</v>
      </c>
      <c r="AU109" s="71">
        <f t="shared" si="163"/>
        <v>3.499999999999992E-2</v>
      </c>
      <c r="AV109" s="71">
        <f t="shared" ref="AV109" si="164">AV108/AR108-1</f>
        <v>2.4999999999999911E-2</v>
      </c>
      <c r="AW109" s="71">
        <f t="shared" ref="AW109" si="165">AW108/AS108-1</f>
        <v>3.499999999999992E-2</v>
      </c>
      <c r="AX109" s="71">
        <f t="shared" ref="AX109" si="166">AX108/AT108-1</f>
        <v>3.499999999999992E-2</v>
      </c>
      <c r="AY109" s="71">
        <f t="shared" ref="AY109" si="167">AY108/AU108-1</f>
        <v>3.499999999999992E-2</v>
      </c>
    </row>
    <row r="111" spans="7:51" x14ac:dyDescent="0.3">
      <c r="G111" t="s">
        <v>99</v>
      </c>
      <c r="H111" s="9">
        <f>H22</f>
        <v>18821</v>
      </c>
      <c r="I111" s="9">
        <f t="shared" ref="I111:AE111" si="168">I22</f>
        <v>18876</v>
      </c>
      <c r="J111" s="9">
        <f t="shared" si="168"/>
        <v>7995</v>
      </c>
      <c r="K111" s="9">
        <f t="shared" si="168"/>
        <v>19358</v>
      </c>
      <c r="L111" s="9">
        <f t="shared" si="168"/>
        <v>20826</v>
      </c>
      <c r="M111" s="9">
        <f t="shared" si="168"/>
        <v>43505</v>
      </c>
      <c r="N111" s="9">
        <f t="shared" si="168"/>
        <v>24333</v>
      </c>
      <c r="O111" s="9">
        <f t="shared" si="168"/>
        <v>39627</v>
      </c>
      <c r="P111" s="9">
        <f t="shared" si="168"/>
        <v>138064</v>
      </c>
      <c r="Q111" s="9">
        <f t="shared" si="168"/>
        <v>152677</v>
      </c>
      <c r="R111" s="9">
        <f t="shared" si="168"/>
        <v>162962</v>
      </c>
      <c r="S111" s="9">
        <f t="shared" si="168"/>
        <v>256861</v>
      </c>
      <c r="T111" s="9">
        <f t="shared" si="168"/>
        <v>338321</v>
      </c>
      <c r="U111" s="9">
        <f t="shared" si="168"/>
        <v>130210</v>
      </c>
      <c r="V111" s="9">
        <f t="shared" si="168"/>
        <v>257693</v>
      </c>
      <c r="W111" s="9">
        <f t="shared" si="168"/>
        <v>485144</v>
      </c>
      <c r="X111" s="9">
        <f t="shared" si="168"/>
        <v>458192</v>
      </c>
      <c r="Y111" s="9">
        <f t="shared" si="168"/>
        <v>68331</v>
      </c>
      <c r="Z111" s="9">
        <f t="shared" si="168"/>
        <v>81833</v>
      </c>
      <c r="AA111" s="9">
        <f t="shared" si="168"/>
        <v>141995</v>
      </c>
      <c r="AB111" s="9">
        <f t="shared" si="168"/>
        <v>216390</v>
      </c>
      <c r="AC111" s="9">
        <f t="shared" si="168"/>
        <v>486516</v>
      </c>
      <c r="AD111" s="9">
        <f t="shared" si="168"/>
        <v>412444</v>
      </c>
      <c r="AE111" s="9">
        <f t="shared" si="168"/>
        <v>631224</v>
      </c>
      <c r="AF111" s="9">
        <f t="shared" ref="AF111:AI112" si="169">AF22</f>
        <v>685928</v>
      </c>
      <c r="AG111" s="9">
        <f t="shared" si="169"/>
        <v>785436</v>
      </c>
      <c r="AH111" s="9">
        <f t="shared" si="169"/>
        <v>402130</v>
      </c>
      <c r="AI111" s="9">
        <f t="shared" si="169"/>
        <v>691712</v>
      </c>
      <c r="AJ111" s="9">
        <f t="shared" ref="AJ111:AK111" si="170">AJ22</f>
        <v>730659</v>
      </c>
      <c r="AK111" s="9">
        <f t="shared" si="170"/>
        <v>623412</v>
      </c>
      <c r="AL111" s="9">
        <f t="shared" ref="AL111:AM111" si="171">AL22</f>
        <v>562486</v>
      </c>
      <c r="AM111" s="9">
        <f t="shared" si="171"/>
        <v>618440</v>
      </c>
      <c r="AN111" s="9">
        <f t="shared" ref="AN111:AO111" si="172">AN22</f>
        <v>842697</v>
      </c>
      <c r="AO111" s="9">
        <f t="shared" si="172"/>
        <v>538861</v>
      </c>
      <c r="AP111" s="9">
        <f t="shared" ref="AP111:AQ111" si="173">AP22</f>
        <v>366523</v>
      </c>
      <c r="AQ111" s="9">
        <f t="shared" si="173"/>
        <v>874313</v>
      </c>
      <c r="AR111" s="9">
        <f t="shared" ref="AR111" si="174">AR22</f>
        <v>820684</v>
      </c>
      <c r="AS111" s="9">
        <f t="shared" ref="AS111:AU111" si="175">AS114-AS112</f>
        <v>613689.91599999997</v>
      </c>
      <c r="AT111" s="9">
        <f t="shared" si="175"/>
        <v>667557.24521999992</v>
      </c>
      <c r="AU111" s="9">
        <f t="shared" si="175"/>
        <v>777987.20455989998</v>
      </c>
      <c r="AV111" s="9">
        <f t="shared" ref="AV111:AY111" si="176">AV114-AV112</f>
        <v>712892.66101722373</v>
      </c>
      <c r="AW111" s="9">
        <f t="shared" si="176"/>
        <v>740158.96610204643</v>
      </c>
      <c r="AX111" s="9">
        <f t="shared" si="176"/>
        <v>786309.87366061937</v>
      </c>
      <c r="AY111" s="9">
        <f t="shared" si="176"/>
        <v>831242.86141534289</v>
      </c>
    </row>
    <row r="112" spans="7:51" x14ac:dyDescent="0.3">
      <c r="G112" t="s">
        <v>100</v>
      </c>
      <c r="H112" s="9">
        <f>H23</f>
        <v>0</v>
      </c>
      <c r="I112" s="9">
        <f t="shared" ref="I112:AE112" si="177">I23</f>
        <v>0</v>
      </c>
      <c r="J112" s="9">
        <f t="shared" si="177"/>
        <v>0</v>
      </c>
      <c r="K112" s="9">
        <f t="shared" si="177"/>
        <v>0</v>
      </c>
      <c r="L112" s="9">
        <f t="shared" si="177"/>
        <v>0</v>
      </c>
      <c r="M112" s="9">
        <f t="shared" si="177"/>
        <v>0</v>
      </c>
      <c r="N112" s="9">
        <f t="shared" si="177"/>
        <v>0</v>
      </c>
      <c r="O112" s="9">
        <f t="shared" si="177"/>
        <v>0</v>
      </c>
      <c r="P112" s="9">
        <f t="shared" si="177"/>
        <v>0</v>
      </c>
      <c r="Q112" s="9">
        <f t="shared" si="177"/>
        <v>0</v>
      </c>
      <c r="R112" s="9">
        <f t="shared" si="177"/>
        <v>0</v>
      </c>
      <c r="S112" s="9">
        <f t="shared" si="177"/>
        <v>29854</v>
      </c>
      <c r="T112" s="9">
        <f t="shared" si="177"/>
        <v>156789</v>
      </c>
      <c r="U112" s="9">
        <f t="shared" si="177"/>
        <v>234947</v>
      </c>
      <c r="V112" s="9">
        <f t="shared" si="177"/>
        <v>229264</v>
      </c>
      <c r="W112" s="9">
        <f t="shared" si="177"/>
        <v>223209</v>
      </c>
      <c r="X112" s="9">
        <f t="shared" si="177"/>
        <v>217376</v>
      </c>
      <c r="Y112" s="9">
        <f t="shared" si="177"/>
        <v>168376</v>
      </c>
      <c r="Z112" s="9">
        <f t="shared" si="177"/>
        <v>147499</v>
      </c>
      <c r="AA112" s="9">
        <f t="shared" si="177"/>
        <v>191566</v>
      </c>
      <c r="AB112" s="9">
        <f t="shared" si="177"/>
        <v>203000</v>
      </c>
      <c r="AC112" s="9">
        <f t="shared" si="177"/>
        <v>205095</v>
      </c>
      <c r="AD112" s="9">
        <f t="shared" si="177"/>
        <v>121787</v>
      </c>
      <c r="AE112" s="9">
        <f t="shared" si="177"/>
        <v>167601</v>
      </c>
      <c r="AF112" s="9">
        <f t="shared" si="169"/>
        <v>158979</v>
      </c>
      <c r="AG112" s="9">
        <f t="shared" si="169"/>
        <v>132720</v>
      </c>
      <c r="AH112" s="9">
        <f t="shared" si="169"/>
        <v>205031</v>
      </c>
      <c r="AI112" s="9">
        <f t="shared" si="169"/>
        <v>173512</v>
      </c>
      <c r="AJ112" s="9">
        <f t="shared" ref="AJ112:AK112" si="178">AJ23</f>
        <v>220452</v>
      </c>
      <c r="AK112" s="9">
        <f t="shared" si="178"/>
        <v>290704</v>
      </c>
      <c r="AL112" s="9">
        <f t="shared" ref="AL112:AM112" si="179">AL23</f>
        <v>89834</v>
      </c>
      <c r="AM112" s="9">
        <f t="shared" si="179"/>
        <v>140260</v>
      </c>
      <c r="AN112" s="9">
        <f t="shared" ref="AN112:AO112" si="180">AN23</f>
        <v>0</v>
      </c>
      <c r="AO112" s="9">
        <f t="shared" si="180"/>
        <v>0</v>
      </c>
      <c r="AP112" s="9">
        <f t="shared" ref="AP112:AQ112" si="181">AP23</f>
        <v>0</v>
      </c>
      <c r="AQ112" s="9">
        <f t="shared" si="181"/>
        <v>0</v>
      </c>
      <c r="AR112" s="9">
        <f t="shared" ref="AR112" si="182">AR23</f>
        <v>0</v>
      </c>
      <c r="AS112" s="9">
        <f t="shared" ref="AS112:AU112" si="183">AS114*AS113</f>
        <v>153422.47899999999</v>
      </c>
      <c r="AT112" s="9">
        <f t="shared" si="183"/>
        <v>166889.31130499998</v>
      </c>
      <c r="AU112" s="9">
        <f t="shared" si="183"/>
        <v>194496.801139975</v>
      </c>
      <c r="AV112" s="9">
        <f t="shared" ref="AV112:AY112" si="184">AV114*AV113</f>
        <v>237630.88700574124</v>
      </c>
      <c r="AW112" s="9">
        <f t="shared" si="184"/>
        <v>246719.65536734881</v>
      </c>
      <c r="AX112" s="9">
        <f t="shared" si="184"/>
        <v>262103.29122020648</v>
      </c>
      <c r="AY112" s="9">
        <f t="shared" si="184"/>
        <v>277080.95380511432</v>
      </c>
    </row>
    <row r="113" spans="5:51" x14ac:dyDescent="0.3">
      <c r="G113" s="16" t="s">
        <v>83</v>
      </c>
      <c r="H113" s="36">
        <f>H112/H114</f>
        <v>0</v>
      </c>
      <c r="I113" s="36">
        <f t="shared" ref="I113:AE113" si="185">I112/I114</f>
        <v>0</v>
      </c>
      <c r="J113" s="36">
        <f t="shared" si="185"/>
        <v>0</v>
      </c>
      <c r="K113" s="36">
        <f t="shared" si="185"/>
        <v>0</v>
      </c>
      <c r="L113" s="36">
        <f t="shared" si="185"/>
        <v>0</v>
      </c>
      <c r="M113" s="36">
        <f t="shared" si="185"/>
        <v>0</v>
      </c>
      <c r="N113" s="36">
        <f t="shared" si="185"/>
        <v>0</v>
      </c>
      <c r="O113" s="36">
        <f t="shared" si="185"/>
        <v>0</v>
      </c>
      <c r="P113" s="36">
        <f t="shared" si="185"/>
        <v>0</v>
      </c>
      <c r="Q113" s="36">
        <f t="shared" si="185"/>
        <v>0</v>
      </c>
      <c r="R113" s="36">
        <f t="shared" si="185"/>
        <v>0</v>
      </c>
      <c r="S113" s="36">
        <f t="shared" si="185"/>
        <v>0.10412430462305775</v>
      </c>
      <c r="T113" s="36">
        <f t="shared" si="185"/>
        <v>0.31667508230494235</v>
      </c>
      <c r="U113" s="36">
        <f t="shared" si="185"/>
        <v>0.6434136549484194</v>
      </c>
      <c r="V113" s="36">
        <f t="shared" si="185"/>
        <v>0.47080953759777555</v>
      </c>
      <c r="W113" s="36">
        <f t="shared" si="185"/>
        <v>0.31510983930328523</v>
      </c>
      <c r="X113" s="36">
        <f t="shared" si="185"/>
        <v>0.32176775690974113</v>
      </c>
      <c r="Y113" s="36">
        <f t="shared" si="185"/>
        <v>0.71132666123097332</v>
      </c>
      <c r="Z113" s="36">
        <f t="shared" si="185"/>
        <v>0.64316798353478799</v>
      </c>
      <c r="AA113" s="36">
        <f t="shared" si="185"/>
        <v>0.57430574917331467</v>
      </c>
      <c r="AB113" s="36">
        <f t="shared" si="185"/>
        <v>0.48403633849161876</v>
      </c>
      <c r="AC113" s="36">
        <f t="shared" si="185"/>
        <v>0.29654675822102311</v>
      </c>
      <c r="AD113" s="36">
        <f t="shared" si="185"/>
        <v>0.22796692816403391</v>
      </c>
      <c r="AE113" s="36">
        <f t="shared" si="185"/>
        <v>0.20980940756736458</v>
      </c>
      <c r="AF113" s="36">
        <f t="shared" ref="AF113:AK113" si="186">AF112/AF114</f>
        <v>0.18816153730528923</v>
      </c>
      <c r="AG113" s="36">
        <f t="shared" si="186"/>
        <v>0.14455059924457281</v>
      </c>
      <c r="AH113" s="36">
        <f t="shared" si="186"/>
        <v>0.33768802673425996</v>
      </c>
      <c r="AI113" s="36">
        <f t="shared" si="186"/>
        <v>0.20053997577505941</v>
      </c>
      <c r="AJ113" s="84">
        <f t="shared" si="186"/>
        <v>0.23178367193734487</v>
      </c>
      <c r="AK113" s="84">
        <f t="shared" si="186"/>
        <v>0.31801653181871886</v>
      </c>
      <c r="AL113" s="84">
        <f t="shared" ref="AL113:AM113" si="187">AL112/AL114</f>
        <v>0.13771461859210204</v>
      </c>
      <c r="AM113" s="84">
        <f t="shared" si="187"/>
        <v>0.18486885461974431</v>
      </c>
      <c r="AN113" s="84">
        <f t="shared" ref="AN113:AO113" si="188">AN112/AN114</f>
        <v>0</v>
      </c>
      <c r="AO113" s="84">
        <f t="shared" si="188"/>
        <v>0</v>
      </c>
      <c r="AP113" s="84">
        <f t="shared" ref="AP113:AQ113" si="189">AP112/AP114</f>
        <v>0</v>
      </c>
      <c r="AQ113" s="84">
        <f t="shared" si="189"/>
        <v>0</v>
      </c>
      <c r="AR113" s="84">
        <f t="shared" ref="AR113" si="190">AR112/AR114</f>
        <v>0</v>
      </c>
      <c r="AS113" s="36">
        <f>BR_lp_T1</f>
        <v>0.2</v>
      </c>
      <c r="AT113" s="36">
        <f>BR_lp_T1</f>
        <v>0.2</v>
      </c>
      <c r="AU113" s="36">
        <f>BR_lp_T1</f>
        <v>0.2</v>
      </c>
      <c r="AV113" s="36">
        <f t="shared" ref="AV113:AY113" si="191">BR_lp_T0</f>
        <v>0.25</v>
      </c>
      <c r="AW113" s="36">
        <f t="shared" si="191"/>
        <v>0.25</v>
      </c>
      <c r="AX113" s="36">
        <f t="shared" si="191"/>
        <v>0.25</v>
      </c>
      <c r="AY113" s="36">
        <f t="shared" si="191"/>
        <v>0.25</v>
      </c>
    </row>
    <row r="114" spans="5:51" ht="15" thickBot="1" x14ac:dyDescent="0.35">
      <c r="G114" s="20" t="s">
        <v>101</v>
      </c>
      <c r="H114" s="37">
        <f>SUM(H111:H112)</f>
        <v>18821</v>
      </c>
      <c r="I114" s="37">
        <f t="shared" ref="I114:AE114" si="192">SUM(I111:I112)</f>
        <v>18876</v>
      </c>
      <c r="J114" s="37">
        <f t="shared" si="192"/>
        <v>7995</v>
      </c>
      <c r="K114" s="37">
        <f t="shared" si="192"/>
        <v>19358</v>
      </c>
      <c r="L114" s="37">
        <f t="shared" si="192"/>
        <v>20826</v>
      </c>
      <c r="M114" s="37">
        <f t="shared" si="192"/>
        <v>43505</v>
      </c>
      <c r="N114" s="37">
        <f t="shared" si="192"/>
        <v>24333</v>
      </c>
      <c r="O114" s="37">
        <f t="shared" si="192"/>
        <v>39627</v>
      </c>
      <c r="P114" s="37">
        <f t="shared" si="192"/>
        <v>138064</v>
      </c>
      <c r="Q114" s="37">
        <f t="shared" si="192"/>
        <v>152677</v>
      </c>
      <c r="R114" s="37">
        <f t="shared" si="192"/>
        <v>162962</v>
      </c>
      <c r="S114" s="37">
        <f t="shared" si="192"/>
        <v>286715</v>
      </c>
      <c r="T114" s="37">
        <f t="shared" si="192"/>
        <v>495110</v>
      </c>
      <c r="U114" s="37">
        <f t="shared" si="192"/>
        <v>365157</v>
      </c>
      <c r="V114" s="37">
        <f t="shared" si="192"/>
        <v>486957</v>
      </c>
      <c r="W114" s="37">
        <f t="shared" si="192"/>
        <v>708353</v>
      </c>
      <c r="X114" s="37">
        <f t="shared" si="192"/>
        <v>675568</v>
      </c>
      <c r="Y114" s="37">
        <f t="shared" si="192"/>
        <v>236707</v>
      </c>
      <c r="Z114" s="37">
        <f t="shared" si="192"/>
        <v>229332</v>
      </c>
      <c r="AA114" s="37">
        <f t="shared" si="192"/>
        <v>333561</v>
      </c>
      <c r="AB114" s="37">
        <f t="shared" si="192"/>
        <v>419390</v>
      </c>
      <c r="AC114" s="37">
        <f t="shared" si="192"/>
        <v>691611</v>
      </c>
      <c r="AD114" s="37">
        <f t="shared" si="192"/>
        <v>534231</v>
      </c>
      <c r="AE114" s="37">
        <f t="shared" si="192"/>
        <v>798825</v>
      </c>
      <c r="AF114" s="37">
        <f t="shared" ref="AF114:AK114" si="193">SUM(AF111:AF112)</f>
        <v>844907</v>
      </c>
      <c r="AG114" s="37">
        <f t="shared" si="193"/>
        <v>918156</v>
      </c>
      <c r="AH114" s="37">
        <f t="shared" si="193"/>
        <v>607161</v>
      </c>
      <c r="AI114" s="37">
        <f t="shared" si="193"/>
        <v>865224</v>
      </c>
      <c r="AJ114" s="37">
        <f t="shared" si="193"/>
        <v>951111</v>
      </c>
      <c r="AK114" s="37">
        <f t="shared" si="193"/>
        <v>914116</v>
      </c>
      <c r="AL114" s="37">
        <f t="shared" ref="AL114:AM114" si="194">SUM(AL111:AL112)</f>
        <v>652320</v>
      </c>
      <c r="AM114" s="37">
        <f t="shared" si="194"/>
        <v>758700</v>
      </c>
      <c r="AN114" s="37">
        <f t="shared" ref="AN114:AO114" si="195">SUM(AN111:AN112)</f>
        <v>842697</v>
      </c>
      <c r="AO114" s="37">
        <f t="shared" si="195"/>
        <v>538861</v>
      </c>
      <c r="AP114" s="37">
        <f t="shared" ref="AP114:AQ114" si="196">SUM(AP111:AP112)</f>
        <v>366523</v>
      </c>
      <c r="AQ114" s="37">
        <f t="shared" si="196"/>
        <v>874313</v>
      </c>
      <c r="AR114" s="37">
        <f t="shared" ref="AR114" si="197">SUM(AR111:AR112)</f>
        <v>820684</v>
      </c>
      <c r="AS114" s="68">
        <f>AVERAGE(AO114:AR114)*(1+GR_lp_T1)</f>
        <v>767112.3949999999</v>
      </c>
      <c r="AT114" s="68">
        <f>AVERAGE(AP114:AS114)*(1+GR_lp_T1)</f>
        <v>834446.55652499991</v>
      </c>
      <c r="AU114" s="68">
        <f>AVERAGE(AQ114:AT114)*(1+GR_lp_T1)</f>
        <v>972484.00569987495</v>
      </c>
      <c r="AV114" s="68">
        <f>AVERAGE(AR114:AU114)*(1+GR_lp_T0)</f>
        <v>950523.54802296497</v>
      </c>
      <c r="AW114" s="68">
        <f>AVERAGE(AS114:AV114)*(1+GR_lp_T0)</f>
        <v>986878.62146939524</v>
      </c>
      <c r="AX114" s="68">
        <f>AVERAGE(AT114:AW114)*(1+GR_lp_T0)</f>
        <v>1048413.1648808259</v>
      </c>
      <c r="AY114" s="68">
        <f>AVERAGE(AU114:AX114)*(1+GR_lp_T0)</f>
        <v>1108323.8152204573</v>
      </c>
    </row>
    <row r="115" spans="5:51" x14ac:dyDescent="0.3">
      <c r="G115" s="69" t="s">
        <v>85</v>
      </c>
      <c r="H115" s="71"/>
      <c r="I115" s="71"/>
      <c r="J115" s="71"/>
      <c r="K115" s="71"/>
      <c r="L115" s="71">
        <f>L114/H114-1</f>
        <v>0.10652993996068227</v>
      </c>
      <c r="M115" s="71">
        <f t="shared" ref="M115:AV115" si="198">M114/I114-1</f>
        <v>1.3047785547785549</v>
      </c>
      <c r="N115" s="71">
        <f t="shared" si="198"/>
        <v>2.0435272045028143</v>
      </c>
      <c r="O115" s="71">
        <f t="shared" si="198"/>
        <v>1.0470606467610288</v>
      </c>
      <c r="P115" s="71">
        <f t="shared" si="198"/>
        <v>5.629405550753865</v>
      </c>
      <c r="Q115" s="71">
        <f t="shared" si="198"/>
        <v>2.5094127111826228</v>
      </c>
      <c r="R115" s="71">
        <f t="shared" si="198"/>
        <v>5.6971602350717134</v>
      </c>
      <c r="S115" s="71">
        <f t="shared" si="198"/>
        <v>6.2353445882857645</v>
      </c>
      <c r="T115" s="71">
        <f t="shared" si="198"/>
        <v>2.5860905087495656</v>
      </c>
      <c r="U115" s="71">
        <f t="shared" si="198"/>
        <v>1.3916961952356934</v>
      </c>
      <c r="V115" s="71">
        <f t="shared" si="198"/>
        <v>1.9881628845988635</v>
      </c>
      <c r="W115" s="71">
        <f t="shared" si="198"/>
        <v>1.4705822855448791</v>
      </c>
      <c r="X115" s="71">
        <f t="shared" si="198"/>
        <v>0.36448062046817875</v>
      </c>
      <c r="Y115" s="71">
        <f t="shared" si="198"/>
        <v>-0.35176650043679847</v>
      </c>
      <c r="Z115" s="71">
        <f t="shared" si="198"/>
        <v>-0.52905081968223067</v>
      </c>
      <c r="AA115" s="71">
        <f t="shared" si="198"/>
        <v>-0.52910342724602</v>
      </c>
      <c r="AB115" s="71">
        <f t="shared" si="198"/>
        <v>-0.3792038699287118</v>
      </c>
      <c r="AC115" s="71">
        <f t="shared" si="198"/>
        <v>1.9218020590857052</v>
      </c>
      <c r="AD115" s="71">
        <f t="shared" si="198"/>
        <v>1.3295091831929255</v>
      </c>
      <c r="AE115" s="71">
        <f t="shared" si="198"/>
        <v>1.3948393247412016</v>
      </c>
      <c r="AF115" s="71">
        <f t="shared" si="198"/>
        <v>1.0146093135267891</v>
      </c>
      <c r="AG115" s="71">
        <f t="shared" si="198"/>
        <v>0.32756130252410687</v>
      </c>
      <c r="AH115" s="71">
        <f t="shared" si="198"/>
        <v>0.13651397990756808</v>
      </c>
      <c r="AI115" s="71">
        <f t="shared" si="198"/>
        <v>8.3120833724532828E-2</v>
      </c>
      <c r="AJ115" s="71">
        <f t="shared" si="198"/>
        <v>0.1256990414329624</v>
      </c>
      <c r="AK115" s="71">
        <f t="shared" si="198"/>
        <v>-4.4001237262513149E-3</v>
      </c>
      <c r="AL115" s="71">
        <f t="shared" si="198"/>
        <v>7.4377306842830837E-2</v>
      </c>
      <c r="AM115" s="71">
        <f t="shared" si="198"/>
        <v>-0.12311725056170431</v>
      </c>
      <c r="AN115" s="71">
        <f t="shared" si="198"/>
        <v>-0.11398669555919339</v>
      </c>
      <c r="AO115" s="71">
        <f t="shared" si="198"/>
        <v>-0.4105113574207212</v>
      </c>
      <c r="AP115" s="71">
        <f t="shared" si="198"/>
        <v>-0.4381239269070395</v>
      </c>
      <c r="AQ115" s="71">
        <f t="shared" si="198"/>
        <v>0.15238302359298794</v>
      </c>
      <c r="AR115" s="71">
        <f t="shared" si="198"/>
        <v>-2.6122081839617284E-2</v>
      </c>
      <c r="AS115" s="71">
        <f t="shared" si="198"/>
        <v>0.4235812111101005</v>
      </c>
      <c r="AT115" s="71">
        <f t="shared" si="198"/>
        <v>1.2766553709453428</v>
      </c>
      <c r="AU115" s="71">
        <f t="shared" si="198"/>
        <v>0.11228359374717622</v>
      </c>
      <c r="AV115" s="71">
        <f t="shared" si="198"/>
        <v>0.15820894281229436</v>
      </c>
      <c r="AW115" s="71">
        <f t="shared" ref="AW115" si="199">AW114/AS114-1</f>
        <v>0.2864850416990008</v>
      </c>
      <c r="AX115" s="71">
        <f t="shared" ref="AX115" si="200">AX114/AT114-1</f>
        <v>0.25641739028425792</v>
      </c>
      <c r="AY115" s="71">
        <f t="shared" ref="AY115" si="201">AY114/AU114-1</f>
        <v>0.13968333538074118</v>
      </c>
    </row>
    <row r="118" spans="5:51" ht="21" x14ac:dyDescent="0.4">
      <c r="E118" s="48" t="s">
        <v>102</v>
      </c>
    </row>
    <row r="119" spans="5:51" x14ac:dyDescent="0.3">
      <c r="F119" s="34" t="s">
        <v>103</v>
      </c>
      <c r="G119" s="2" t="s">
        <v>12</v>
      </c>
      <c r="H119" s="3">
        <f>SUM(H137:H138)</f>
        <v>-104666.70000000001</v>
      </c>
      <c r="I119" s="3">
        <f t="shared" ref="I119:W119" si="202">SUM(I137:I138)</f>
        <v>-91075.400000000009</v>
      </c>
      <c r="J119" s="3">
        <f t="shared" si="202"/>
        <v>-105242.4</v>
      </c>
      <c r="K119" s="3">
        <f t="shared" si="202"/>
        <v>-89566.2</v>
      </c>
      <c r="L119" s="3">
        <f t="shared" si="202"/>
        <v>-81537.3</v>
      </c>
      <c r="M119" s="3">
        <f t="shared" si="202"/>
        <v>-108290.40000000001</v>
      </c>
      <c r="N119" s="3">
        <f t="shared" si="202"/>
        <v>-123422</v>
      </c>
      <c r="O119" s="3">
        <f t="shared" si="202"/>
        <v>-110304.8</v>
      </c>
      <c r="P119" s="3">
        <f t="shared" si="202"/>
        <v>-124570.8</v>
      </c>
      <c r="Q119" s="3">
        <f t="shared" si="202"/>
        <v>-153101.5</v>
      </c>
      <c r="R119" s="3">
        <f t="shared" si="202"/>
        <v>-150395.80000000002</v>
      </c>
      <c r="S119" s="3">
        <f t="shared" si="202"/>
        <v>-140972.5</v>
      </c>
      <c r="T119" s="3">
        <f t="shared" si="202"/>
        <v>-157544.1</v>
      </c>
      <c r="U119" s="3">
        <f t="shared" si="202"/>
        <v>-167031.70000000001</v>
      </c>
      <c r="V119" s="3">
        <f t="shared" si="202"/>
        <v>-168939.4</v>
      </c>
      <c r="W119" s="3">
        <f t="shared" si="202"/>
        <v>-171689.3</v>
      </c>
      <c r="X119" s="3">
        <f t="shared" ref="X119:AE119" si="203">SUM(X137:X138)</f>
        <v>-191390.8</v>
      </c>
      <c r="Y119" s="3">
        <f t="shared" si="203"/>
        <v>-149069.79999999999</v>
      </c>
      <c r="Z119" s="3">
        <f t="shared" si="203"/>
        <v>-221378.80000000002</v>
      </c>
      <c r="AA119" s="3">
        <f t="shared" si="203"/>
        <v>-180641</v>
      </c>
      <c r="AB119" s="3">
        <f t="shared" si="203"/>
        <v>-230364.3</v>
      </c>
      <c r="AC119" s="3">
        <f t="shared" si="203"/>
        <v>-228465.5</v>
      </c>
      <c r="AD119" s="3">
        <f t="shared" si="203"/>
        <v>-268921.3</v>
      </c>
      <c r="AE119" s="3">
        <f t="shared" si="203"/>
        <v>-227417.4</v>
      </c>
      <c r="AF119" s="3">
        <f t="shared" ref="AF119:AK119" si="204">SUM(AF137:AF138)</f>
        <v>-280499.59999999998</v>
      </c>
      <c r="AG119" s="3">
        <f t="shared" si="204"/>
        <v>-292609.30000000005</v>
      </c>
      <c r="AH119" s="3">
        <f t="shared" si="204"/>
        <v>-317071.7</v>
      </c>
      <c r="AI119" s="3">
        <f t="shared" si="204"/>
        <v>-320850.69999999995</v>
      </c>
      <c r="AJ119" s="3">
        <f t="shared" si="204"/>
        <v>-329364</v>
      </c>
      <c r="AK119" s="3">
        <f t="shared" si="204"/>
        <v>-341093.60000000003</v>
      </c>
      <c r="AL119" s="3">
        <f t="shared" ref="AL119:AM119" si="205">SUM(AL137:AL138)</f>
        <v>-389551.4</v>
      </c>
      <c r="AM119" s="3">
        <f t="shared" si="205"/>
        <v>-351001.80000000005</v>
      </c>
      <c r="AN119" s="3">
        <f t="shared" ref="AN119:AO119" si="206">SUM(AN137:AN138)</f>
        <v>-396922.9</v>
      </c>
      <c r="AO119" s="3">
        <f t="shared" si="206"/>
        <v>-450399.1</v>
      </c>
      <c r="AP119" s="3">
        <f t="shared" ref="AP119:AQ119" si="207">SUM(AP137:AP138)</f>
        <v>-411531.89999999997</v>
      </c>
      <c r="AQ119" s="3">
        <f t="shared" si="207"/>
        <v>-417573.39999999997</v>
      </c>
      <c r="AR119" s="3">
        <f t="shared" ref="AR119" si="208">SUM(AR137:AR138)</f>
        <v>-472272.2</v>
      </c>
      <c r="AS119" s="3">
        <f>AS79*ED_gas_T1*(CIT_gas_T1-CIA_gas_T1)/1000000</f>
        <v>-529018.32810952608</v>
      </c>
      <c r="AT119" s="3">
        <f>AT79*ED_gas_T1*(CIT_gas_T1-CIA_gas_T1)/1000000</f>
        <v>-493050.03852355463</v>
      </c>
      <c r="AU119" s="3">
        <f>AU79*ED_gas_T1*(CIT_gas_T1-CIA_gas_T1)/1000000</f>
        <v>-490819.470470745</v>
      </c>
      <c r="AV119" s="3">
        <f t="shared" ref="AV119:AY119" si="209">AV79*ED_gas_T0*(CIT_gas_T0-CIA_gas_T0)/1000000</f>
        <v>-510742.61936230364</v>
      </c>
      <c r="AW119" s="3">
        <f t="shared" si="209"/>
        <v>-581672.85446074128</v>
      </c>
      <c r="AX119" s="3">
        <f t="shared" si="209"/>
        <v>-538885.89825425379</v>
      </c>
      <c r="AY119" s="3">
        <f t="shared" si="209"/>
        <v>-534290.35917820793</v>
      </c>
    </row>
    <row r="120" spans="5:51" ht="15" thickBot="1" x14ac:dyDescent="0.35">
      <c r="F120" s="28"/>
      <c r="G120" s="29" t="s">
        <v>9</v>
      </c>
      <c r="H120" s="38">
        <f t="shared" ref="H120:W120" si="210">SUM(H141:H142)</f>
        <v>-56144.7</v>
      </c>
      <c r="I120" s="38">
        <f t="shared" si="210"/>
        <v>-46139.6</v>
      </c>
      <c r="J120" s="38">
        <f t="shared" si="210"/>
        <v>-54088.950000000004</v>
      </c>
      <c r="K120" s="38">
        <f t="shared" si="210"/>
        <v>-47907.55</v>
      </c>
      <c r="L120" s="38">
        <f t="shared" si="210"/>
        <v>-45305.8</v>
      </c>
      <c r="M120" s="38">
        <f t="shared" si="210"/>
        <v>-60071.8</v>
      </c>
      <c r="N120" s="38">
        <f t="shared" si="210"/>
        <v>-62759.850000000006</v>
      </c>
      <c r="O120" s="38">
        <f t="shared" si="210"/>
        <v>-52680.35</v>
      </c>
      <c r="P120" s="38">
        <f t="shared" si="210"/>
        <v>-66214.650000000009</v>
      </c>
      <c r="Q120" s="38">
        <f t="shared" si="210"/>
        <v>-75088.049999999988</v>
      </c>
      <c r="R120" s="38">
        <f t="shared" si="210"/>
        <v>-84730.95</v>
      </c>
      <c r="S120" s="38">
        <f t="shared" si="210"/>
        <v>-69835.900000000009</v>
      </c>
      <c r="T120" s="38">
        <f t="shared" si="210"/>
        <v>-81664.499999999985</v>
      </c>
      <c r="U120" s="38">
        <f t="shared" si="210"/>
        <v>-79437.100000000006</v>
      </c>
      <c r="V120" s="38">
        <f t="shared" si="210"/>
        <v>-89560.85</v>
      </c>
      <c r="W120" s="38">
        <f t="shared" si="210"/>
        <v>-86180.3</v>
      </c>
      <c r="X120" s="38">
        <f t="shared" ref="X120:AE120" si="211">SUM(X141:X142)</f>
        <v>-87962.55</v>
      </c>
      <c r="Y120" s="38">
        <f t="shared" si="211"/>
        <v>-110694.65</v>
      </c>
      <c r="Z120" s="38">
        <f t="shared" si="211"/>
        <v>-105772</v>
      </c>
      <c r="AA120" s="38">
        <f t="shared" si="211"/>
        <v>-107626.55</v>
      </c>
      <c r="AB120" s="38">
        <f t="shared" si="211"/>
        <v>-137021.94999999998</v>
      </c>
      <c r="AC120" s="38">
        <f t="shared" si="211"/>
        <v>-137570.70000000001</v>
      </c>
      <c r="AD120" s="38">
        <f t="shared" si="211"/>
        <v>-150906.00000000003</v>
      </c>
      <c r="AE120" s="38">
        <f t="shared" si="211"/>
        <v>-126713.9</v>
      </c>
      <c r="AF120" s="38">
        <f t="shared" ref="AF120:AK120" si="212">SUM(AF141:AF142)</f>
        <v>-186755.7</v>
      </c>
      <c r="AG120" s="38">
        <f t="shared" si="212"/>
        <v>-167408.54999999999</v>
      </c>
      <c r="AH120" s="38">
        <f t="shared" si="212"/>
        <v>-185721.59999999998</v>
      </c>
      <c r="AI120" s="38">
        <f t="shared" si="212"/>
        <v>-177892.19999999998</v>
      </c>
      <c r="AJ120" s="38">
        <f t="shared" si="212"/>
        <v>-175860.7</v>
      </c>
      <c r="AK120" s="38">
        <f t="shared" si="212"/>
        <v>-162570.9</v>
      </c>
      <c r="AL120" s="38">
        <f t="shared" ref="AL120:AM120" si="213">SUM(AL141:AL142)</f>
        <v>-191829.05000000002</v>
      </c>
      <c r="AM120" s="38">
        <f t="shared" si="213"/>
        <v>-159168.05000000002</v>
      </c>
      <c r="AN120" s="38">
        <f t="shared" ref="AN120:AO120" si="214">SUM(AN141:AN142)</f>
        <v>-168056.15</v>
      </c>
      <c r="AO120" s="38">
        <f t="shared" si="214"/>
        <v>-171915.19999999998</v>
      </c>
      <c r="AP120" s="38">
        <f t="shared" ref="AP120:AQ120" si="215">SUM(AP141:AP142)</f>
        <v>-224119.4</v>
      </c>
      <c r="AQ120" s="38">
        <f t="shared" si="215"/>
        <v>-241243.25000000003</v>
      </c>
      <c r="AR120" s="38">
        <f t="shared" ref="AR120" si="216">SUM(AR141:AR142)</f>
        <v>-219928.05</v>
      </c>
      <c r="AS120" s="38">
        <f>AS85*ED_die_T1*(CIT_die_T1-CIA_die_T1)/1000000</f>
        <v>-207947.17250584776</v>
      </c>
      <c r="AT120" s="38">
        <f>AT85*ED_die_T1*(CIT_die_T1-CIA_die_T1)/1000000</f>
        <v>-240343.53430886424</v>
      </c>
      <c r="AU120" s="38">
        <f>AU85*ED_die_T1*(CIT_die_T1-CIA_die_T1)/1000000</f>
        <v>-254149.27620885614</v>
      </c>
      <c r="AV120" s="38">
        <f t="shared" ref="AV120:AY120" si="217">AV85*ED_die_T0*(CIT_die_T0-CIA_die_T0)/1000000</f>
        <v>-195796.92502678616</v>
      </c>
      <c r="AW120" s="38">
        <f t="shared" si="217"/>
        <v>-231827.04378736936</v>
      </c>
      <c r="AX120" s="38">
        <f t="shared" si="217"/>
        <v>-268843.49729351082</v>
      </c>
      <c r="AY120" s="38">
        <f t="shared" si="217"/>
        <v>-284530.92406432191</v>
      </c>
    </row>
    <row r="121" spans="5:51" ht="15" thickBot="1" x14ac:dyDescent="0.35">
      <c r="F121" s="31" t="s">
        <v>104</v>
      </c>
      <c r="G121" s="32"/>
      <c r="H121" s="13">
        <f>SUM(H119:H120)</f>
        <v>-160811.40000000002</v>
      </c>
      <c r="I121" s="13">
        <f t="shared" ref="I121:V121" si="218">SUM(I119:I120)</f>
        <v>-137215</v>
      </c>
      <c r="J121" s="13">
        <f t="shared" si="218"/>
        <v>-159331.35</v>
      </c>
      <c r="K121" s="13">
        <f t="shared" si="218"/>
        <v>-137473.75</v>
      </c>
      <c r="L121" s="13">
        <f t="shared" si="218"/>
        <v>-126843.1</v>
      </c>
      <c r="M121" s="13">
        <f t="shared" si="218"/>
        <v>-168362.2</v>
      </c>
      <c r="N121" s="13">
        <f t="shared" si="218"/>
        <v>-186181.85</v>
      </c>
      <c r="O121" s="13">
        <f t="shared" si="218"/>
        <v>-162985.15</v>
      </c>
      <c r="P121" s="13">
        <f t="shared" si="218"/>
        <v>-190785.45</v>
      </c>
      <c r="Q121" s="13">
        <f t="shared" si="218"/>
        <v>-228189.55</v>
      </c>
      <c r="R121" s="13">
        <f t="shared" si="218"/>
        <v>-235126.75</v>
      </c>
      <c r="S121" s="13">
        <f t="shared" si="218"/>
        <v>-210808.40000000002</v>
      </c>
      <c r="T121" s="13">
        <f t="shared" si="218"/>
        <v>-239208.59999999998</v>
      </c>
      <c r="U121" s="13">
        <f t="shared" si="218"/>
        <v>-246468.80000000002</v>
      </c>
      <c r="V121" s="13">
        <f t="shared" si="218"/>
        <v>-258500.25</v>
      </c>
      <c r="W121" s="13">
        <f t="shared" ref="W121:AI121" si="219">SUM(W119:W120)</f>
        <v>-257869.59999999998</v>
      </c>
      <c r="X121" s="13">
        <f t="shared" si="219"/>
        <v>-279353.34999999998</v>
      </c>
      <c r="Y121" s="13">
        <f t="shared" si="219"/>
        <v>-259764.44999999998</v>
      </c>
      <c r="Z121" s="13">
        <f t="shared" si="219"/>
        <v>-327150.80000000005</v>
      </c>
      <c r="AA121" s="13">
        <f t="shared" si="219"/>
        <v>-288267.55</v>
      </c>
      <c r="AB121" s="13">
        <f t="shared" si="219"/>
        <v>-367386.25</v>
      </c>
      <c r="AC121" s="13">
        <f t="shared" si="219"/>
        <v>-366036.2</v>
      </c>
      <c r="AD121" s="13">
        <f t="shared" si="219"/>
        <v>-419827.30000000005</v>
      </c>
      <c r="AE121" s="13">
        <f t="shared" si="219"/>
        <v>-354131.3</v>
      </c>
      <c r="AF121" s="13">
        <f t="shared" si="219"/>
        <v>-467255.3</v>
      </c>
      <c r="AG121" s="13">
        <f t="shared" si="219"/>
        <v>-460017.85000000003</v>
      </c>
      <c r="AH121" s="13">
        <f t="shared" si="219"/>
        <v>-502793.3</v>
      </c>
      <c r="AI121" s="13">
        <f t="shared" si="219"/>
        <v>-498742.89999999991</v>
      </c>
      <c r="AJ121" s="13">
        <f t="shared" ref="AJ121:AK121" si="220">SUM(AJ119:AJ120)</f>
        <v>-505224.7</v>
      </c>
      <c r="AK121" s="13">
        <f t="shared" si="220"/>
        <v>-503664.5</v>
      </c>
      <c r="AL121" s="13">
        <f t="shared" ref="AL121:AM121" si="221">SUM(AL119:AL120)</f>
        <v>-581380.45000000007</v>
      </c>
      <c r="AM121" s="13">
        <f t="shared" si="221"/>
        <v>-510169.85000000009</v>
      </c>
      <c r="AN121" s="13">
        <f t="shared" ref="AN121:AO121" si="222">SUM(AN119:AN120)</f>
        <v>-564979.05000000005</v>
      </c>
      <c r="AO121" s="13">
        <f t="shared" si="222"/>
        <v>-622314.29999999993</v>
      </c>
      <c r="AP121" s="13">
        <f t="shared" ref="AP121:AQ121" si="223">SUM(AP119:AP120)</f>
        <v>-635651.29999999993</v>
      </c>
      <c r="AQ121" s="13">
        <f t="shared" si="223"/>
        <v>-658816.65</v>
      </c>
      <c r="AR121" s="13">
        <f t="shared" ref="AR121" si="224">SUM(AR119:AR120)</f>
        <v>-692200.25</v>
      </c>
      <c r="AS121" s="13">
        <f t="shared" ref="AS121:AU121" si="225">SUM(AS119:AS120)</f>
        <v>-736965.50061537384</v>
      </c>
      <c r="AT121" s="13">
        <f t="shared" si="225"/>
        <v>-733393.57283241884</v>
      </c>
      <c r="AU121" s="13">
        <f t="shared" si="225"/>
        <v>-744968.74667960114</v>
      </c>
      <c r="AV121" s="13">
        <f t="shared" ref="AV121:AY121" si="226">SUM(AV119:AV120)</f>
        <v>-706539.5443890898</v>
      </c>
      <c r="AW121" s="13">
        <f t="shared" si="226"/>
        <v>-813499.89824811067</v>
      </c>
      <c r="AX121" s="13">
        <f t="shared" si="226"/>
        <v>-807729.39554776461</v>
      </c>
      <c r="AY121" s="13">
        <f t="shared" si="226"/>
        <v>-818821.28324252984</v>
      </c>
    </row>
    <row r="122" spans="5:51" x14ac:dyDescent="0.3">
      <c r="F122" s="30"/>
      <c r="G122" s="30"/>
      <c r="H122" s="39"/>
      <c r="I122" s="39"/>
      <c r="J122" s="39"/>
      <c r="K122" s="39"/>
      <c r="L122" s="39"/>
      <c r="M122" s="39"/>
      <c r="N122" s="39"/>
      <c r="O122" s="39"/>
      <c r="P122" s="39"/>
      <c r="Q122" s="39"/>
      <c r="R122" s="39"/>
      <c r="S122" s="39"/>
      <c r="T122" s="39"/>
      <c r="U122" s="39"/>
      <c r="V122" s="39"/>
      <c r="W122" s="39"/>
      <c r="X122" s="39"/>
      <c r="Y122" s="39"/>
      <c r="Z122" s="39"/>
      <c r="AA122" s="39"/>
    </row>
    <row r="123" spans="5:51" x14ac:dyDescent="0.3">
      <c r="F123" s="34" t="s">
        <v>105</v>
      </c>
      <c r="G123" s="2" t="s">
        <v>82</v>
      </c>
      <c r="H123" s="3">
        <f t="shared" ref="H123:W123" si="227">SUM(H139:H140)</f>
        <v>138645.70000000001</v>
      </c>
      <c r="I123" s="3">
        <f t="shared" si="227"/>
        <v>118783.40000000001</v>
      </c>
      <c r="J123" s="3">
        <f t="shared" si="227"/>
        <v>134538.4</v>
      </c>
      <c r="K123" s="3">
        <f t="shared" si="227"/>
        <v>107971.2</v>
      </c>
      <c r="L123" s="3">
        <f t="shared" si="227"/>
        <v>110453.3</v>
      </c>
      <c r="M123" s="3">
        <f t="shared" si="227"/>
        <v>116910.40000000001</v>
      </c>
      <c r="N123" s="3">
        <f t="shared" si="227"/>
        <v>131067</v>
      </c>
      <c r="O123" s="3">
        <f t="shared" si="227"/>
        <v>121246.8</v>
      </c>
      <c r="P123" s="3">
        <f t="shared" si="227"/>
        <v>116865.8</v>
      </c>
      <c r="Q123" s="3">
        <f t="shared" si="227"/>
        <v>113534.5</v>
      </c>
      <c r="R123" s="3">
        <f t="shared" si="227"/>
        <v>134719.80000000002</v>
      </c>
      <c r="S123" s="3">
        <f t="shared" si="227"/>
        <v>130007.5</v>
      </c>
      <c r="T123" s="3">
        <f t="shared" si="227"/>
        <v>108480.1</v>
      </c>
      <c r="U123" s="3">
        <f t="shared" si="227"/>
        <v>127109.7</v>
      </c>
      <c r="V123" s="3">
        <f t="shared" si="227"/>
        <v>146323.4</v>
      </c>
      <c r="W123" s="3">
        <f t="shared" si="227"/>
        <v>138932.29999999999</v>
      </c>
      <c r="X123" s="3">
        <f t="shared" ref="X123:AE123" si="228">SUM(X139:X140)</f>
        <v>122548.8</v>
      </c>
      <c r="Y123" s="3">
        <f t="shared" si="228"/>
        <v>108267.79999999999</v>
      </c>
      <c r="Z123" s="3">
        <f t="shared" si="228"/>
        <v>133980.80000000002</v>
      </c>
      <c r="AA123" s="3">
        <f t="shared" si="228"/>
        <v>123384</v>
      </c>
      <c r="AB123" s="3">
        <f t="shared" si="228"/>
        <v>108415.29999999999</v>
      </c>
      <c r="AC123" s="3">
        <f t="shared" si="228"/>
        <v>150461.5</v>
      </c>
      <c r="AD123" s="3">
        <f t="shared" si="228"/>
        <v>152577.30000000002</v>
      </c>
      <c r="AE123" s="3">
        <f t="shared" si="228"/>
        <v>130180.4</v>
      </c>
      <c r="AF123" s="3">
        <f t="shared" ref="AF123:AK123" si="229">SUM(AF139:AF140)</f>
        <v>115091.6</v>
      </c>
      <c r="AG123" s="3">
        <f t="shared" si="229"/>
        <v>137616.29999999999</v>
      </c>
      <c r="AH123" s="3">
        <f t="shared" si="229"/>
        <v>136068.70000000001</v>
      </c>
      <c r="AI123" s="3">
        <f t="shared" si="229"/>
        <v>119161.70000000001</v>
      </c>
      <c r="AJ123" s="3">
        <f t="shared" si="229"/>
        <v>135589</v>
      </c>
      <c r="AK123" s="3">
        <f t="shared" si="229"/>
        <v>133745.60000000001</v>
      </c>
      <c r="AL123" s="3">
        <f t="shared" ref="AL123:AM123" si="230">SUM(AL139:AL140)</f>
        <v>127645.4</v>
      </c>
      <c r="AM123" s="3">
        <f t="shared" si="230"/>
        <v>138423.79999999999</v>
      </c>
      <c r="AN123" s="3">
        <f t="shared" ref="AN123:AO123" si="231">SUM(AN139:AN140)</f>
        <v>111766.9</v>
      </c>
      <c r="AO123" s="3">
        <f t="shared" si="231"/>
        <v>137231.09999999998</v>
      </c>
      <c r="AP123" s="3">
        <f t="shared" ref="AP123:AQ123" si="232">SUM(AP139:AP140)</f>
        <v>150675.9</v>
      </c>
      <c r="AQ123" s="3">
        <f t="shared" si="232"/>
        <v>123507.40000000001</v>
      </c>
      <c r="AR123" s="3">
        <f t="shared" ref="AR123" si="233">SUM(AR139:AR140)</f>
        <v>119880.2</v>
      </c>
      <c r="AS123" s="3">
        <f>AS80*ED_eth_T1*(CIT_gas_T1-CIA_eth_T1)/1000000</f>
        <v>135370.58299533455</v>
      </c>
      <c r="AT123" s="3">
        <f>AT80*ED_eth_T1*(CIT_gas_T1-CIA_eth_T1)/1000000</f>
        <v>126166.65172891178</v>
      </c>
      <c r="AU123" s="3">
        <f>AU80*ED_eth_T1*(CIT_gas_T1-CIA_eth_T1)/1000000</f>
        <v>125595.87131984984</v>
      </c>
      <c r="AV123" s="3">
        <f t="shared" ref="AV123:AY123" si="234">AV80*ED_eth_T0*(CIT_gas_T0-CIA_Eth_T0)/1000000</f>
        <v>109446.40528644175</v>
      </c>
      <c r="AW123" s="3">
        <f t="shared" si="234"/>
        <v>124645.95778773664</v>
      </c>
      <c r="AX123" s="3">
        <f t="shared" si="234"/>
        <v>115477.19377153732</v>
      </c>
      <c r="AY123" s="3">
        <f t="shared" si="234"/>
        <v>114492.42137706868</v>
      </c>
    </row>
    <row r="124" spans="5:51" x14ac:dyDescent="0.3">
      <c r="F124" s="34"/>
      <c r="G124" s="2" t="s">
        <v>18</v>
      </c>
      <c r="H124" s="3">
        <f t="shared" ref="H124:W124" si="235">SUM(H143:H144)</f>
        <v>58364.7</v>
      </c>
      <c r="I124" s="3">
        <f t="shared" si="235"/>
        <v>63917.599999999999</v>
      </c>
      <c r="J124" s="3">
        <f t="shared" si="235"/>
        <v>75239.95</v>
      </c>
      <c r="K124" s="3">
        <f t="shared" si="235"/>
        <v>68933.55</v>
      </c>
      <c r="L124" s="3">
        <f t="shared" si="235"/>
        <v>56946.8</v>
      </c>
      <c r="M124" s="3">
        <f t="shared" si="235"/>
        <v>82476.800000000003</v>
      </c>
      <c r="N124" s="3">
        <f t="shared" si="235"/>
        <v>90074.85</v>
      </c>
      <c r="O124" s="3">
        <f t="shared" si="235"/>
        <v>87098.014302230004</v>
      </c>
      <c r="P124" s="3">
        <f t="shared" si="235"/>
        <v>72723.646281665031</v>
      </c>
      <c r="Q124" s="3">
        <f t="shared" si="235"/>
        <v>87693.219200915511</v>
      </c>
      <c r="R124" s="3">
        <f t="shared" si="235"/>
        <v>100409.03239736639</v>
      </c>
      <c r="S124" s="3">
        <f t="shared" si="235"/>
        <v>90605.683479329469</v>
      </c>
      <c r="T124" s="3">
        <f t="shared" si="235"/>
        <v>81721.490345357786</v>
      </c>
      <c r="U124" s="3">
        <f t="shared" si="235"/>
        <v>120443.8281439712</v>
      </c>
      <c r="V124" s="3">
        <f t="shared" si="235"/>
        <v>123711.940061976</v>
      </c>
      <c r="W124" s="3">
        <f t="shared" si="235"/>
        <v>115171.98353013491</v>
      </c>
      <c r="X124" s="3">
        <f t="shared" ref="X124:AE124" si="236">SUM(X143:X144)</f>
        <v>116438.93728911609</v>
      </c>
      <c r="Y124" s="3">
        <f t="shared" si="236"/>
        <v>108452.32783414214</v>
      </c>
      <c r="Z124" s="3">
        <f t="shared" si="236"/>
        <v>124815.28055842798</v>
      </c>
      <c r="AA124" s="3">
        <f t="shared" si="236"/>
        <v>122812.6093460655</v>
      </c>
      <c r="AB124" s="3">
        <f t="shared" si="236"/>
        <v>100830.45139083015</v>
      </c>
      <c r="AC124" s="3">
        <f t="shared" si="236"/>
        <v>141200.02242192338</v>
      </c>
      <c r="AD124" s="3">
        <f t="shared" si="236"/>
        <v>143145.89270382357</v>
      </c>
      <c r="AE124" s="3">
        <f t="shared" si="236"/>
        <v>132020.6741844927</v>
      </c>
      <c r="AF124" s="3">
        <f t="shared" ref="AF124:AK124" si="237">SUM(AF143:AF144)</f>
        <v>115894.38414677588</v>
      </c>
      <c r="AG124" s="3">
        <f t="shared" si="237"/>
        <v>161410.13478653485</v>
      </c>
      <c r="AH124" s="3">
        <f t="shared" si="237"/>
        <v>112478.85200502625</v>
      </c>
      <c r="AI124" s="3">
        <f t="shared" si="237"/>
        <v>153712.9485943527</v>
      </c>
      <c r="AJ124" s="3">
        <f t="shared" si="237"/>
        <v>105933.93076444656</v>
      </c>
      <c r="AK124" s="3">
        <f t="shared" si="237"/>
        <v>116825.60656631047</v>
      </c>
      <c r="AL124" s="3">
        <f t="shared" ref="AL124:AM124" si="238">SUM(AL143:AL144)</f>
        <v>126343.92970838754</v>
      </c>
      <c r="AM124" s="3">
        <f t="shared" si="238"/>
        <v>125336.55181474049</v>
      </c>
      <c r="AN124" s="3">
        <f t="shared" ref="AN124:AO124" si="239">SUM(AN143:AN144)</f>
        <v>90769.68573059974</v>
      </c>
      <c r="AO124" s="3">
        <f t="shared" si="239"/>
        <v>114713.72408943708</v>
      </c>
      <c r="AP124" s="3">
        <f t="shared" ref="AP124:AQ124" si="240">SUM(AP143:AP144)</f>
        <v>133869.14736921754</v>
      </c>
      <c r="AQ124" s="3">
        <f t="shared" si="240"/>
        <v>122744.26496897523</v>
      </c>
      <c r="AR124" s="3">
        <f t="shared" ref="AR124" si="241">SUM(AR143:AR144)</f>
        <v>74198.658357223088</v>
      </c>
      <c r="AS124" s="3">
        <f>AS86*ED_bio_T1*(CIT_die_T1-CIA_Bio_T1)/1000000</f>
        <v>112625.38009012178</v>
      </c>
      <c r="AT124" s="3">
        <f>AT86*ED_bio_T1*(CIT_die_T1-CIA_Bio_T1)/1000000</f>
        <v>130171.43526189493</v>
      </c>
      <c r="AU124" s="3">
        <f>AU86*ED_bio_T1*(CIT_die_T1-CIA_Bio_T1)/1000000</f>
        <v>137648.70417676313</v>
      </c>
      <c r="AV124" s="3">
        <f t="shared" ref="AV124:AY124" si="242">AV86*ED_Bio_T0*(CIT_die_T0-CIA_bio_T0)/1000000</f>
        <v>109713.37483783704</v>
      </c>
      <c r="AW124" s="3">
        <f t="shared" si="242"/>
        <v>129902.58835327328</v>
      </c>
      <c r="AX124" s="3">
        <f t="shared" si="242"/>
        <v>150644.48732911816</v>
      </c>
      <c r="AY124" s="3">
        <f t="shared" si="242"/>
        <v>159434.82217892053</v>
      </c>
    </row>
    <row r="125" spans="5:51" x14ac:dyDescent="0.3">
      <c r="F125" s="34"/>
      <c r="G125" s="2" t="s">
        <v>87</v>
      </c>
      <c r="H125" s="3">
        <f t="shared" ref="H125:W125" si="243">SUM(H145:H146)</f>
        <v>0</v>
      </c>
      <c r="I125" s="3">
        <f t="shared" si="243"/>
        <v>0</v>
      </c>
      <c r="J125" s="3">
        <f t="shared" si="243"/>
        <v>0</v>
      </c>
      <c r="K125" s="3">
        <f t="shared" si="243"/>
        <v>0</v>
      </c>
      <c r="L125" s="3">
        <f t="shared" si="243"/>
        <v>0</v>
      </c>
      <c r="M125" s="3">
        <f t="shared" si="243"/>
        <v>0</v>
      </c>
      <c r="N125" s="3">
        <f t="shared" si="243"/>
        <v>0</v>
      </c>
      <c r="O125" s="3">
        <f t="shared" si="243"/>
        <v>2863.335697769985</v>
      </c>
      <c r="P125" s="3">
        <f t="shared" si="243"/>
        <v>1949.0037183349648</v>
      </c>
      <c r="Q125" s="3">
        <f t="shared" si="243"/>
        <v>1637.830799084486</v>
      </c>
      <c r="R125" s="3">
        <f t="shared" si="243"/>
        <v>1800.9176026336174</v>
      </c>
      <c r="S125" s="3">
        <f t="shared" si="243"/>
        <v>4037.2165206705317</v>
      </c>
      <c r="T125" s="3">
        <f t="shared" si="243"/>
        <v>907.0096546422235</v>
      </c>
      <c r="U125" s="3">
        <f t="shared" si="243"/>
        <v>3104.2718560287944</v>
      </c>
      <c r="V125" s="3">
        <f t="shared" si="243"/>
        <v>98816.909938023993</v>
      </c>
      <c r="W125" s="3">
        <f t="shared" si="243"/>
        <v>38391.316469865094</v>
      </c>
      <c r="X125" s="3">
        <f t="shared" ref="X125:AE125" si="244">SUM(X145:X146)</f>
        <v>64214.612710883906</v>
      </c>
      <c r="Y125" s="3">
        <f t="shared" si="244"/>
        <v>53572.322165857855</v>
      </c>
      <c r="Z125" s="3">
        <f t="shared" si="244"/>
        <v>852.7194415720254</v>
      </c>
      <c r="AA125" s="3">
        <f t="shared" si="244"/>
        <v>29037.9406539345</v>
      </c>
      <c r="AB125" s="3">
        <f t="shared" si="244"/>
        <v>28226.498609169852</v>
      </c>
      <c r="AC125" s="3">
        <f t="shared" si="244"/>
        <v>11937.677578076629</v>
      </c>
      <c r="AD125" s="3">
        <f t="shared" si="244"/>
        <v>20057.107296176418</v>
      </c>
      <c r="AE125" s="3">
        <f t="shared" si="244"/>
        <v>14240.225815507303</v>
      </c>
      <c r="AF125" s="3">
        <f t="shared" ref="AF125:AK125" si="245">SUM(AF145:AF146)</f>
        <v>90083.315853224121</v>
      </c>
      <c r="AG125" s="3">
        <f t="shared" si="245"/>
        <v>35542.415213465152</v>
      </c>
      <c r="AH125" s="3">
        <f t="shared" si="245"/>
        <v>83445.747994973746</v>
      </c>
      <c r="AI125" s="3">
        <f t="shared" si="245"/>
        <v>124374.25140564729</v>
      </c>
      <c r="AJ125" s="3">
        <f t="shared" si="245"/>
        <v>142266.76923555342</v>
      </c>
      <c r="AK125" s="3">
        <f t="shared" si="245"/>
        <v>207113.29343368954</v>
      </c>
      <c r="AL125" s="3">
        <f t="shared" ref="AL125:AM125" si="246">SUM(AL145:AL146)</f>
        <v>306207.12029161246</v>
      </c>
      <c r="AM125" s="3">
        <f t="shared" si="246"/>
        <v>303139.49818525946</v>
      </c>
      <c r="AN125" s="3">
        <f t="shared" ref="AN125:AO125" si="247">SUM(AN145:AN146)</f>
        <v>425841.46426940023</v>
      </c>
      <c r="AO125" s="3">
        <f t="shared" si="247"/>
        <v>318590.47591056291</v>
      </c>
      <c r="AP125" s="3">
        <f t="shared" ref="AP125:AQ125" si="248">SUM(AP145:AP146)</f>
        <v>274440.25263078243</v>
      </c>
      <c r="AQ125" s="3">
        <f t="shared" si="248"/>
        <v>211372.98503102476</v>
      </c>
      <c r="AR125" s="3">
        <f t="shared" ref="AR125" si="249">SUM(AR145:AR146)</f>
        <v>117553.3916427769</v>
      </c>
      <c r="AS125" s="3">
        <f>AS88*ED_ren_T1*(CIT_die_T1-CIA_ren_T1)/1000000</f>
        <v>256963.60873073171</v>
      </c>
      <c r="AT125" s="3">
        <f>AT88*ED_ren_T1*(CIT_die_T1-CIA_ren_T1)/1000000</f>
        <v>296996.30520038656</v>
      </c>
      <c r="AU125" s="3">
        <f>AU88*ED_ren_T1*(CIT_die_T1-CIA_ren_T1)/1000000</f>
        <v>314056.27873634425</v>
      </c>
      <c r="AV125" s="3">
        <f t="shared" ref="AV125:AY125" si="250">AV88*ED_ren_T0*(CIT_die_T0-CIA_ren_T0)/1000000</f>
        <v>273313.83228123729</v>
      </c>
      <c r="AW125" s="3">
        <f t="shared" si="250"/>
        <v>323608.4415283227</v>
      </c>
      <c r="AX125" s="3">
        <f t="shared" si="250"/>
        <v>375279.88000387436</v>
      </c>
      <c r="AY125" s="3">
        <f t="shared" si="250"/>
        <v>397178.03151353187</v>
      </c>
    </row>
    <row r="126" spans="5:51" x14ac:dyDescent="0.3">
      <c r="F126" s="34"/>
      <c r="G126" s="2" t="s">
        <v>106</v>
      </c>
      <c r="H126" s="3">
        <f>+H38</f>
        <v>8573</v>
      </c>
      <c r="I126" s="3">
        <f t="shared" ref="I126:AJ126" si="251">+I38</f>
        <v>8574</v>
      </c>
      <c r="J126" s="3">
        <f t="shared" si="251"/>
        <v>8573</v>
      </c>
      <c r="K126" s="3">
        <f t="shared" si="251"/>
        <v>8574</v>
      </c>
      <c r="L126" s="3">
        <f t="shared" si="251"/>
        <v>10301</v>
      </c>
      <c r="M126" s="3">
        <f t="shared" si="251"/>
        <v>10301</v>
      </c>
      <c r="N126" s="3">
        <f t="shared" si="251"/>
        <v>10301</v>
      </c>
      <c r="O126" s="3">
        <f t="shared" si="251"/>
        <v>10301</v>
      </c>
      <c r="P126" s="3">
        <f t="shared" si="251"/>
        <v>14222</v>
      </c>
      <c r="Q126" s="3">
        <f t="shared" si="251"/>
        <v>14222</v>
      </c>
      <c r="R126" s="3">
        <f t="shared" si="251"/>
        <v>14223</v>
      </c>
      <c r="S126" s="3">
        <f t="shared" si="251"/>
        <v>14223</v>
      </c>
      <c r="T126" s="3">
        <f t="shared" si="251"/>
        <v>18317</v>
      </c>
      <c r="U126" s="3">
        <f t="shared" si="251"/>
        <v>18317</v>
      </c>
      <c r="V126" s="3">
        <f t="shared" si="251"/>
        <v>18318</v>
      </c>
      <c r="W126" s="3">
        <f t="shared" si="251"/>
        <v>18318</v>
      </c>
      <c r="X126" s="3">
        <f t="shared" si="251"/>
        <v>24872</v>
      </c>
      <c r="Y126" s="3">
        <f t="shared" si="251"/>
        <v>24872</v>
      </c>
      <c r="Z126" s="3">
        <f t="shared" si="251"/>
        <v>24872</v>
      </c>
      <c r="AA126" s="3">
        <f t="shared" si="251"/>
        <v>24872</v>
      </c>
      <c r="AB126" s="3">
        <f t="shared" si="251"/>
        <v>32995.5</v>
      </c>
      <c r="AC126" s="3">
        <f t="shared" si="251"/>
        <v>32995.5</v>
      </c>
      <c r="AD126" s="3">
        <f t="shared" si="251"/>
        <v>39353</v>
      </c>
      <c r="AE126" s="3">
        <f t="shared" si="251"/>
        <v>39352</v>
      </c>
      <c r="AF126" s="3">
        <f t="shared" si="251"/>
        <v>46402</v>
      </c>
      <c r="AG126" s="3">
        <f t="shared" si="251"/>
        <v>46402</v>
      </c>
      <c r="AH126" s="3">
        <f t="shared" si="251"/>
        <v>47330</v>
      </c>
      <c r="AI126" s="3">
        <f t="shared" si="251"/>
        <v>47330</v>
      </c>
      <c r="AJ126" s="3">
        <f t="shared" si="251"/>
        <v>66706</v>
      </c>
      <c r="AK126" s="3">
        <f t="shared" ref="AK126:AL126" si="252">+AK38</f>
        <v>66706</v>
      </c>
      <c r="AL126" s="3">
        <f t="shared" si="252"/>
        <v>75605</v>
      </c>
      <c r="AM126" s="3">
        <f>+AM38</f>
        <v>75605</v>
      </c>
      <c r="AN126" s="3">
        <f t="shared" ref="AN126" si="253">+AN38</f>
        <v>73443</v>
      </c>
      <c r="AO126" s="3">
        <f>+AO38</f>
        <v>73443</v>
      </c>
      <c r="AP126" s="3">
        <f t="shared" ref="AP126:AQ126" si="254">+AP38</f>
        <v>83949</v>
      </c>
      <c r="AQ126" s="3">
        <f t="shared" si="254"/>
        <v>83949</v>
      </c>
      <c r="AR126" s="110">
        <f>'Electric Vehicles'!$H51*(KWh_T1/4)*EEReon_T1*ED_eon_T1*(CIT_gas_T1-(CIA_eon_T1/EEReon_T1))/1000000</f>
        <v>91732.860392354996</v>
      </c>
      <c r="AS126" s="110">
        <f>'Electric Vehicles'!$H51*(KWh_T1/4)*EEReon_T1*ED_eon_T1*(CIT_gas_T1-(CIA_eon_T1/EEReon_T1))/1000000</f>
        <v>91732.860392354996</v>
      </c>
      <c r="AT126" s="110">
        <f>'Electric Vehicles'!$H51*(KWh_T1/4)*EEReon_T1*ED_eon_T1*(CIT_gas_T1-(CIA_eon_T1/EEReon_T1))/1000000</f>
        <v>91732.860392354996</v>
      </c>
      <c r="AU126" s="110">
        <f>'Electric Vehicles'!$H51*(KWh_T1/4)*EEReon_T1*ED_eon_T1*(CIT_gas_T1-(CIA_eon_T1/EEReon_T1))/1000000</f>
        <v>91732.860392354996</v>
      </c>
      <c r="AV126" s="110">
        <f>'Electric Vehicles'!$H55*(KWh_T0/4)*EEReon_T0*ED_eon_T0*(CIT_gas_T0-(CIA_eon_T0/EEReon_T0))/1000000</f>
        <v>105371.29399420801</v>
      </c>
      <c r="AW126" s="110">
        <f>'Electric Vehicles'!$H55*(KWh_T0/4)*EEReon_T0*ED_eon_T0*(CIT_gas_T0-(CIA_eon_T0/EEReon_T0))/1000000</f>
        <v>105371.29399420801</v>
      </c>
      <c r="AX126" s="110">
        <f>'Electric Vehicles'!$H55*(KWh_T0/4)*EEReon_T0*ED_eon_T0*(CIT_gas_T0-(CIA_eon_T0/EEReon_T0))/1000000</f>
        <v>105371.29399420801</v>
      </c>
      <c r="AY126" s="110">
        <f>'Electric Vehicles'!$H55*(KWh_T0/4)*EEReon_T0*ED_eon_T0*(CIT_gas_T0-(CIA_eon_T0/EEReon_T0))/1000000</f>
        <v>105371.29399420801</v>
      </c>
    </row>
    <row r="127" spans="5:51" x14ac:dyDescent="0.3">
      <c r="F127" s="34"/>
      <c r="G127" s="2" t="s">
        <v>107</v>
      </c>
      <c r="H127" s="3">
        <f>+H37</f>
        <v>321</v>
      </c>
      <c r="I127" s="3">
        <f t="shared" ref="I127:AJ127" si="255">+I37</f>
        <v>500</v>
      </c>
      <c r="J127" s="3">
        <f t="shared" si="255"/>
        <v>684</v>
      </c>
      <c r="K127" s="3">
        <f t="shared" si="255"/>
        <v>640</v>
      </c>
      <c r="L127" s="3">
        <f t="shared" si="255"/>
        <v>649</v>
      </c>
      <c r="M127" s="3">
        <f t="shared" si="255"/>
        <v>822</v>
      </c>
      <c r="N127" s="3">
        <f t="shared" si="255"/>
        <v>1095</v>
      </c>
      <c r="O127" s="3">
        <f t="shared" si="255"/>
        <v>946</v>
      </c>
      <c r="P127" s="3">
        <f t="shared" si="255"/>
        <v>539</v>
      </c>
      <c r="Q127" s="3">
        <f t="shared" si="255"/>
        <v>761</v>
      </c>
      <c r="R127" s="3">
        <f t="shared" si="255"/>
        <v>968</v>
      </c>
      <c r="S127" s="3">
        <f t="shared" si="255"/>
        <v>1214</v>
      </c>
      <c r="T127" s="3">
        <f t="shared" si="255"/>
        <v>1187</v>
      </c>
      <c r="U127" s="3">
        <f t="shared" si="255"/>
        <v>1500</v>
      </c>
      <c r="V127" s="3">
        <f t="shared" si="255"/>
        <v>1965</v>
      </c>
      <c r="W127" s="3">
        <f t="shared" si="255"/>
        <v>1940</v>
      </c>
      <c r="X127" s="3">
        <f t="shared" si="255"/>
        <v>1529</v>
      </c>
      <c r="Y127" s="3">
        <f t="shared" si="255"/>
        <v>1032</v>
      </c>
      <c r="Z127" s="3">
        <f t="shared" si="255"/>
        <v>1952</v>
      </c>
      <c r="AA127" s="3">
        <f t="shared" si="255"/>
        <v>1818</v>
      </c>
      <c r="AB127" s="3">
        <f t="shared" si="255"/>
        <v>1759</v>
      </c>
      <c r="AC127" s="3">
        <f t="shared" si="255"/>
        <v>2687</v>
      </c>
      <c r="AD127" s="3">
        <f t="shared" si="255"/>
        <v>5360</v>
      </c>
      <c r="AE127" s="3">
        <f t="shared" si="255"/>
        <v>5498</v>
      </c>
      <c r="AF127" s="3">
        <f t="shared" si="255"/>
        <v>5423</v>
      </c>
      <c r="AG127" s="3">
        <f t="shared" si="255"/>
        <v>7831</v>
      </c>
      <c r="AH127" s="3">
        <f t="shared" si="255"/>
        <v>10139</v>
      </c>
      <c r="AI127" s="3">
        <f t="shared" si="255"/>
        <v>10164</v>
      </c>
      <c r="AJ127" s="3">
        <f t="shared" si="255"/>
        <v>8863</v>
      </c>
      <c r="AK127" s="3">
        <f t="shared" ref="AK127:AM127" si="256">+AK37</f>
        <v>11728</v>
      </c>
      <c r="AL127" s="3">
        <f t="shared" si="256"/>
        <v>16224</v>
      </c>
      <c r="AM127" s="3">
        <f t="shared" si="256"/>
        <v>17057</v>
      </c>
      <c r="AN127" s="3">
        <f t="shared" ref="AN127:AO127" si="257">+AN37</f>
        <v>14888</v>
      </c>
      <c r="AO127" s="3">
        <f t="shared" si="257"/>
        <v>18699</v>
      </c>
      <c r="AP127" s="3">
        <f t="shared" ref="AP127:AQ127" si="258">+AP37</f>
        <v>23861</v>
      </c>
      <c r="AQ127" s="3">
        <f t="shared" si="258"/>
        <v>24388</v>
      </c>
      <c r="AR127" s="3">
        <f t="shared" ref="AR127" si="259">+AR37</f>
        <v>23648</v>
      </c>
      <c r="AS127" s="3">
        <f>+'Electric Vehicles'!$H51*Forecast_Main!AS99*EEReon_T1*ED_eon_T1*(CIT_gas_T1-(0/EEReon_T1))/1000000</f>
        <v>23302.851927984524</v>
      </c>
      <c r="AT127" s="3">
        <f>+'Electric Vehicles'!$H51*Forecast_Main!AT99*EEReon_T1*ED_eon_T1*(CIT_gas_T1-(0/EEReon_T1))/1000000</f>
        <v>25089.717117604483</v>
      </c>
      <c r="AU127" s="3">
        <f>+'Electric Vehicles'!$H51*Forecast_Main!AU99*EEReon_T1*ED_eon_T1*(CIT_gas_T1-(0/EEReon_T1))/1000000</f>
        <v>26662.476380661607</v>
      </c>
      <c r="AV127" s="3">
        <f>+'Electric Vehicles'!$H55*Forecast_Main!AV99*EEReon_T0*ED_eon_T0*(CIT_gas_T0-(0/EEReon_T0))/1000000</f>
        <v>31593.190074381364</v>
      </c>
      <c r="AW127" s="3">
        <f>+'Electric Vehicles'!$H55*Forecast_Main!AW99*EEReon_T0*ED_eon_T0*(CIT_gas_T0-(0/EEReon_T0))/1000000</f>
        <v>33440.953489488245</v>
      </c>
      <c r="AX127" s="3">
        <f>+'Electric Vehicles'!$H55*Forecast_Main!AX99*EEReon_T0*ED_eon_T0*(CIT_gas_T0-(0/EEReon_T0))/1000000</f>
        <v>35573.92822202199</v>
      </c>
      <c r="AY127" s="3">
        <f>+'Electric Vehicles'!$H55*Forecast_Main!AY99*EEReon_T0*ED_eon_T0*(CIT_gas_T0-(0/EEReon_T0))/1000000</f>
        <v>37384.43664401897</v>
      </c>
    </row>
    <row r="128" spans="5:51" x14ac:dyDescent="0.3">
      <c r="F128" s="34"/>
      <c r="G128" s="4" t="s">
        <v>108</v>
      </c>
      <c r="H128" s="10">
        <f t="shared" ref="H128:W128" si="260">SUM(H149:H150)</f>
        <v>0</v>
      </c>
      <c r="I128" s="10">
        <f t="shared" si="260"/>
        <v>0</v>
      </c>
      <c r="J128" s="10">
        <f t="shared" si="260"/>
        <v>0</v>
      </c>
      <c r="K128" s="10">
        <f t="shared" si="260"/>
        <v>0</v>
      </c>
      <c r="L128" s="10">
        <f t="shared" si="260"/>
        <v>0</v>
      </c>
      <c r="M128" s="10">
        <f t="shared" si="260"/>
        <v>0</v>
      </c>
      <c r="N128" s="10">
        <f t="shared" si="260"/>
        <v>0</v>
      </c>
      <c r="O128" s="10">
        <f t="shared" si="260"/>
        <v>0</v>
      </c>
      <c r="P128" s="10">
        <f t="shared" si="260"/>
        <v>4288</v>
      </c>
      <c r="Q128" s="10">
        <f t="shared" si="260"/>
        <v>4206</v>
      </c>
      <c r="R128" s="10">
        <f t="shared" si="260"/>
        <v>4382</v>
      </c>
      <c r="S128" s="10">
        <f t="shared" si="260"/>
        <v>4313</v>
      </c>
      <c r="T128" s="10">
        <f t="shared" si="260"/>
        <v>4662</v>
      </c>
      <c r="U128" s="10">
        <f t="shared" si="260"/>
        <v>4756</v>
      </c>
      <c r="V128" s="10">
        <f t="shared" si="260"/>
        <v>5787</v>
      </c>
      <c r="W128" s="10">
        <f t="shared" si="260"/>
        <v>6098</v>
      </c>
      <c r="X128" s="10">
        <f t="shared" ref="X128:AE128" si="261">SUM(X149:X150)</f>
        <v>6391</v>
      </c>
      <c r="Y128" s="10">
        <f t="shared" si="261"/>
        <v>6459</v>
      </c>
      <c r="Z128" s="10">
        <f t="shared" si="261"/>
        <v>7835</v>
      </c>
      <c r="AA128" s="10">
        <f t="shared" si="261"/>
        <v>8579</v>
      </c>
      <c r="AB128" s="10">
        <f t="shared" si="261"/>
        <v>18392</v>
      </c>
      <c r="AC128" s="10">
        <f t="shared" si="261"/>
        <v>28285</v>
      </c>
      <c r="AD128" s="10">
        <f t="shared" si="261"/>
        <v>32449</v>
      </c>
      <c r="AE128" s="10">
        <f t="shared" si="261"/>
        <v>36097</v>
      </c>
      <c r="AF128" s="10">
        <f t="shared" ref="AF128:AK128" si="262">SUM(AF149:AF150)</f>
        <v>38001</v>
      </c>
      <c r="AG128" s="10">
        <f t="shared" si="262"/>
        <v>39897</v>
      </c>
      <c r="AH128" s="10">
        <f t="shared" si="262"/>
        <v>42917</v>
      </c>
      <c r="AI128" s="10">
        <f t="shared" si="262"/>
        <v>46713</v>
      </c>
      <c r="AJ128" s="10">
        <f t="shared" si="262"/>
        <v>20921</v>
      </c>
      <c r="AK128" s="10">
        <f t="shared" si="262"/>
        <v>36060</v>
      </c>
      <c r="AL128" s="10">
        <f t="shared" ref="AL128:AM128" si="263">SUM(AL149:AL150)</f>
        <v>30110</v>
      </c>
      <c r="AM128" s="10">
        <f t="shared" si="263"/>
        <v>30431</v>
      </c>
      <c r="AN128" s="10">
        <f t="shared" ref="AN128:AO128" si="264">SUM(AN149:AN150)</f>
        <v>14867</v>
      </c>
      <c r="AO128" s="10">
        <f t="shared" si="264"/>
        <v>16382</v>
      </c>
      <c r="AP128" s="10">
        <f t="shared" ref="AP128:AQ128" si="265">SUM(AP149:AP150)</f>
        <v>19460</v>
      </c>
      <c r="AQ128" s="10">
        <f t="shared" si="265"/>
        <v>21251</v>
      </c>
      <c r="AR128" s="10">
        <f t="shared" ref="AR128" si="266">SUM(AR149:AR150)</f>
        <v>19779</v>
      </c>
      <c r="AS128" s="3">
        <f t="shared" ref="AS128:AU128" si="267">(SUM($AB128:$AE128)/SUM($AB102:$AE102))*AS102</f>
        <v>27387.756208622581</v>
      </c>
      <c r="AT128" s="3">
        <f t="shared" si="267"/>
        <v>23889.982617705598</v>
      </c>
      <c r="AU128" s="3">
        <f t="shared" si="267"/>
        <v>25762.070634049178</v>
      </c>
      <c r="AV128" s="3">
        <f t="shared" ref="AV128:AY128" si="268">(SUM($AB128:$AE128)/SUM($AB102:$AE102))*AV102</f>
        <v>32802.130210677184</v>
      </c>
      <c r="AW128" s="3">
        <f t="shared" si="268"/>
        <v>31495.919639915963</v>
      </c>
      <c r="AX128" s="3">
        <f t="shared" si="268"/>
        <v>27473.48001036144</v>
      </c>
      <c r="AY128" s="3">
        <f t="shared" si="268"/>
        <v>29626.381229156555</v>
      </c>
    </row>
    <row r="129" spans="3:70" x14ac:dyDescent="0.3">
      <c r="F129" s="34"/>
      <c r="G129" s="2" t="s">
        <v>98</v>
      </c>
      <c r="H129" s="3">
        <f t="shared" ref="H129:W129" si="269">SUM(H151:H154)</f>
        <v>535</v>
      </c>
      <c r="I129" s="3">
        <f t="shared" si="269"/>
        <v>427</v>
      </c>
      <c r="J129" s="3">
        <f t="shared" si="269"/>
        <v>2380</v>
      </c>
      <c r="K129" s="3">
        <f t="shared" si="269"/>
        <v>3135</v>
      </c>
      <c r="L129" s="3">
        <f t="shared" si="269"/>
        <v>2364</v>
      </c>
      <c r="M129" s="3">
        <f t="shared" si="269"/>
        <v>3016</v>
      </c>
      <c r="N129" s="3">
        <f t="shared" si="269"/>
        <v>2961</v>
      </c>
      <c r="O129" s="3">
        <f t="shared" si="269"/>
        <v>2879</v>
      </c>
      <c r="P129" s="3">
        <f t="shared" si="269"/>
        <v>1675</v>
      </c>
      <c r="Q129" s="3">
        <f t="shared" si="269"/>
        <v>2284</v>
      </c>
      <c r="R129" s="3">
        <f t="shared" si="269"/>
        <v>2407</v>
      </c>
      <c r="S129" s="3">
        <f t="shared" si="269"/>
        <v>2545</v>
      </c>
      <c r="T129" s="3">
        <f t="shared" si="269"/>
        <v>2298</v>
      </c>
      <c r="U129" s="3">
        <f t="shared" si="269"/>
        <v>2496</v>
      </c>
      <c r="V129" s="3">
        <f t="shared" si="269"/>
        <v>2524</v>
      </c>
      <c r="W129" s="3">
        <f t="shared" si="269"/>
        <v>2976</v>
      </c>
      <c r="X129" s="3">
        <f t="shared" ref="X129:AE129" si="270">SUM(X151:X154)</f>
        <v>2738</v>
      </c>
      <c r="Y129" s="3">
        <f t="shared" si="270"/>
        <v>2787</v>
      </c>
      <c r="Z129" s="3">
        <f t="shared" si="270"/>
        <v>3556</v>
      </c>
      <c r="AA129" s="3">
        <f t="shared" si="270"/>
        <v>3737</v>
      </c>
      <c r="AB129" s="3">
        <f t="shared" si="270"/>
        <v>3773</v>
      </c>
      <c r="AC129" s="3">
        <f t="shared" si="270"/>
        <v>4805</v>
      </c>
      <c r="AD129" s="3">
        <f t="shared" si="270"/>
        <v>9751</v>
      </c>
      <c r="AE129" s="3">
        <f t="shared" si="270"/>
        <v>11611</v>
      </c>
      <c r="AF129" s="3">
        <f t="shared" ref="AF129:AK129" si="271">SUM(AF151:AF154)</f>
        <v>11718</v>
      </c>
      <c r="AG129" s="3">
        <f t="shared" si="271"/>
        <v>8504</v>
      </c>
      <c r="AH129" s="3">
        <f t="shared" si="271"/>
        <v>4249</v>
      </c>
      <c r="AI129" s="3">
        <f t="shared" si="271"/>
        <v>9199</v>
      </c>
      <c r="AJ129" s="3">
        <f t="shared" si="271"/>
        <v>21993</v>
      </c>
      <c r="AK129" s="3">
        <f t="shared" si="271"/>
        <v>36274</v>
      </c>
      <c r="AL129" s="3">
        <f t="shared" ref="AL129:AM129" si="272">SUM(AL151:AL154)</f>
        <v>41783</v>
      </c>
      <c r="AM129" s="3">
        <f t="shared" si="272"/>
        <v>41394</v>
      </c>
      <c r="AN129" s="3">
        <f t="shared" ref="AN129:AO129" si="273">SUM(AN151:AN154)</f>
        <v>11707</v>
      </c>
      <c r="AO129" s="3">
        <f t="shared" si="273"/>
        <v>9653</v>
      </c>
      <c r="AP129" s="3">
        <f t="shared" ref="AP129:AQ129" si="274">SUM(AP151:AP154)</f>
        <v>7873</v>
      </c>
      <c r="AQ129" s="3">
        <f t="shared" si="274"/>
        <v>9557</v>
      </c>
      <c r="AR129" s="3">
        <f t="shared" ref="AR129" si="275">SUM(AR151:AR154)</f>
        <v>9136</v>
      </c>
      <c r="AS129" s="3">
        <f>SUM(AS105*EERng_T1*ED_die_T1*(CIT_die_T1-(CIA_fcg_T1/EERng_T1))/1000000,AS106*EERng_T1*ED_die_T1*(CIT_die_T1-(CIA_bgs_T1/EERng_T1))/1000000)</f>
        <v>11076.582927993235</v>
      </c>
      <c r="AT129" s="3">
        <f>SUM(AT105*EERng_T1*ED_die_T1*(CIT_die_T1-(CIA_fcg_T1/EERng_T1))/1000000,AT106*EERng_T1*ED_die_T1*(CIT_die_T1-(CIA_bgs_T1/EERng_T1))/1000000)</f>
        <v>11255.391788935067</v>
      </c>
      <c r="AU129" s="3">
        <f>SUM(AU105*EERng_T1*ED_die_T1*(CIT_die_T1-(CIA_fcg_T1/EERng_T1))/1000000,AU106*EERng_T1*ED_die_T1*(CIT_die_T1-(CIA_bgs_T1/EERng_T1))/1000000)</f>
        <v>11006.840418621938</v>
      </c>
      <c r="AV129" s="3">
        <f t="shared" ref="AV129:AY129" si="276">SUM(AV105*EERng_T0*ED_die_T0*(CIT_die_T0-(CIA_fcg_T0/EERng_T0))/1000000,AV106*EERng_T0*ED_die_T0*(CIT_die_T0-(CIA_bgs_T0/EERng_T0))/1000000)</f>
        <v>10520.726111231508</v>
      </c>
      <c r="AW129" s="3">
        <f t="shared" si="276"/>
        <v>11660.862144065393</v>
      </c>
      <c r="AX129" s="3">
        <f t="shared" si="276"/>
        <v>11849.103002381957</v>
      </c>
      <c r="AY129" s="3">
        <f t="shared" si="276"/>
        <v>11587.440783647045</v>
      </c>
    </row>
    <row r="130" spans="3:70" ht="15" thickBot="1" x14ac:dyDescent="0.35">
      <c r="F130" s="28"/>
      <c r="G130" s="29" t="s">
        <v>109</v>
      </c>
      <c r="H130" s="38">
        <f t="shared" ref="H130:W130" si="277">SUM(H155:H156)</f>
        <v>28</v>
      </c>
      <c r="I130" s="38">
        <f t="shared" si="277"/>
        <v>28</v>
      </c>
      <c r="J130" s="38">
        <f t="shared" si="277"/>
        <v>13</v>
      </c>
      <c r="K130" s="38">
        <f t="shared" si="277"/>
        <v>31</v>
      </c>
      <c r="L130" s="38">
        <f t="shared" si="277"/>
        <v>32</v>
      </c>
      <c r="M130" s="38">
        <f t="shared" si="277"/>
        <v>68</v>
      </c>
      <c r="N130" s="38">
        <f t="shared" si="277"/>
        <v>38</v>
      </c>
      <c r="O130" s="38">
        <f t="shared" si="277"/>
        <v>61</v>
      </c>
      <c r="P130" s="38">
        <f t="shared" si="277"/>
        <v>199</v>
      </c>
      <c r="Q130" s="38">
        <f t="shared" si="277"/>
        <v>218</v>
      </c>
      <c r="R130" s="38">
        <f t="shared" si="277"/>
        <v>238</v>
      </c>
      <c r="S130" s="38">
        <f t="shared" si="277"/>
        <v>535</v>
      </c>
      <c r="T130" s="38">
        <f t="shared" si="277"/>
        <v>1219</v>
      </c>
      <c r="U130" s="38">
        <f t="shared" si="277"/>
        <v>1385</v>
      </c>
      <c r="V130" s="38">
        <f t="shared" si="277"/>
        <v>1643</v>
      </c>
      <c r="W130" s="38">
        <f t="shared" si="277"/>
        <v>1935</v>
      </c>
      <c r="X130" s="38">
        <f t="shared" ref="X130:AE130" si="278">SUM(X155:X156)</f>
        <v>1487</v>
      </c>
      <c r="Y130" s="38">
        <f t="shared" si="278"/>
        <v>961</v>
      </c>
      <c r="Z130" s="38">
        <f t="shared" si="278"/>
        <v>777</v>
      </c>
      <c r="AA130" s="38">
        <f t="shared" si="278"/>
        <v>1043</v>
      </c>
      <c r="AB130" s="38">
        <f t="shared" si="278"/>
        <v>1318</v>
      </c>
      <c r="AC130" s="38">
        <f t="shared" si="278"/>
        <v>1410</v>
      </c>
      <c r="AD130" s="38">
        <f t="shared" si="278"/>
        <v>1062</v>
      </c>
      <c r="AE130" s="38">
        <f t="shared" si="278"/>
        <v>1320</v>
      </c>
      <c r="AF130" s="38">
        <f t="shared" ref="AF130:AK130" si="279">SUM(AF155:AF156)</f>
        <v>1048</v>
      </c>
      <c r="AG130" s="38">
        <f t="shared" si="279"/>
        <v>1282</v>
      </c>
      <c r="AH130" s="38">
        <f t="shared" si="279"/>
        <v>1574</v>
      </c>
      <c r="AI130" s="38">
        <f t="shared" si="279"/>
        <v>1428</v>
      </c>
      <c r="AJ130" s="38">
        <f t="shared" si="279"/>
        <v>1740</v>
      </c>
      <c r="AK130" s="38">
        <f t="shared" si="279"/>
        <v>2200</v>
      </c>
      <c r="AL130" s="38">
        <f t="shared" ref="AL130:AM130" si="280">SUM(AL155:AL156)</f>
        <v>843</v>
      </c>
      <c r="AM130" s="38">
        <f t="shared" si="280"/>
        <v>1196</v>
      </c>
      <c r="AN130" s="38">
        <f t="shared" ref="AN130:AO130" si="281">SUM(AN155:AN156)</f>
        <v>334</v>
      </c>
      <c r="AO130" s="38">
        <f t="shared" si="281"/>
        <v>305</v>
      </c>
      <c r="AP130" s="38">
        <f t="shared" ref="AP130:AQ130" si="282">SUM(AP155:AP156)</f>
        <v>157</v>
      </c>
      <c r="AQ130" s="38">
        <f t="shared" si="282"/>
        <v>325</v>
      </c>
      <c r="AR130" s="38">
        <f t="shared" ref="AR130" si="283">SUM(AR155:AR156)</f>
        <v>158</v>
      </c>
      <c r="AS130" s="3">
        <f>AS114*ED_lp_T1*(CIT_gas_T1-CIA_lp_T1)/1000000</f>
        <v>2973.7092814365119</v>
      </c>
      <c r="AT130" s="3">
        <f>AT114*ED_lp_T1*(CIT_gas_T1-CIA_lp_T1)/1000000</f>
        <v>3234.7299902527707</v>
      </c>
      <c r="AU130" s="3">
        <f>AU114*ED_lp_T1*(CIT_gas_T1-CIA_lp_T1)/1000000</f>
        <v>3769.8318168855508</v>
      </c>
      <c r="AV130" s="3">
        <f t="shared" ref="AV130:AY130" si="284">AV114*ED_lp_T0*(CIT_gas_T0-CIA_lp_T0)/1000000</f>
        <v>3401.0013903231902</v>
      </c>
      <c r="AW130" s="3">
        <f t="shared" si="284"/>
        <v>3531.0809192246916</v>
      </c>
      <c r="AX130" s="3">
        <f t="shared" si="284"/>
        <v>3751.2533369732755</v>
      </c>
      <c r="AY130" s="3">
        <f t="shared" si="284"/>
        <v>3965.6154172437268</v>
      </c>
    </row>
    <row r="131" spans="3:70" ht="15" thickBot="1" x14ac:dyDescent="0.35">
      <c r="F131" s="31" t="s">
        <v>110</v>
      </c>
      <c r="G131" s="32"/>
      <c r="H131" s="13">
        <f>SUM(H123:H130)</f>
        <v>206467.40000000002</v>
      </c>
      <c r="I131" s="13">
        <f t="shared" ref="I131:V131" si="285">SUM(I123:I130)</f>
        <v>192230</v>
      </c>
      <c r="J131" s="13">
        <f t="shared" si="285"/>
        <v>221428.34999999998</v>
      </c>
      <c r="K131" s="13">
        <f t="shared" si="285"/>
        <v>189284.75</v>
      </c>
      <c r="L131" s="13">
        <f t="shared" si="285"/>
        <v>180746.1</v>
      </c>
      <c r="M131" s="13">
        <f t="shared" si="285"/>
        <v>213594.2</v>
      </c>
      <c r="N131" s="13">
        <f t="shared" si="285"/>
        <v>235536.85</v>
      </c>
      <c r="O131" s="13">
        <f t="shared" si="285"/>
        <v>225395.15</v>
      </c>
      <c r="P131" s="13">
        <f t="shared" si="285"/>
        <v>212461.45</v>
      </c>
      <c r="Q131" s="13">
        <f t="shared" si="285"/>
        <v>224556.55</v>
      </c>
      <c r="R131" s="13">
        <f t="shared" si="285"/>
        <v>259147.75000000003</v>
      </c>
      <c r="S131" s="13">
        <f t="shared" si="285"/>
        <v>247480.4</v>
      </c>
      <c r="T131" s="13">
        <f t="shared" si="285"/>
        <v>218791.6</v>
      </c>
      <c r="U131" s="13">
        <f t="shared" si="285"/>
        <v>279111.8</v>
      </c>
      <c r="V131" s="13">
        <f t="shared" si="285"/>
        <v>399089.25</v>
      </c>
      <c r="W131" s="13">
        <f t="shared" ref="W131:AO131" si="286">SUM(W123:W130)</f>
        <v>323762.59999999998</v>
      </c>
      <c r="X131" s="13">
        <f t="shared" si="286"/>
        <v>340219.35</v>
      </c>
      <c r="Y131" s="13">
        <f t="shared" si="286"/>
        <v>306403.44999999995</v>
      </c>
      <c r="Z131" s="13">
        <f t="shared" si="286"/>
        <v>298640.80000000005</v>
      </c>
      <c r="AA131" s="13">
        <f t="shared" si="286"/>
        <v>315283.55</v>
      </c>
      <c r="AB131" s="13">
        <f t="shared" si="286"/>
        <v>295709.75</v>
      </c>
      <c r="AC131" s="13">
        <f t="shared" si="286"/>
        <v>373781.69999999995</v>
      </c>
      <c r="AD131" s="13">
        <f t="shared" si="286"/>
        <v>403755.3</v>
      </c>
      <c r="AE131" s="13">
        <f t="shared" si="286"/>
        <v>370319.3</v>
      </c>
      <c r="AF131" s="13">
        <f t="shared" si="286"/>
        <v>423661.3</v>
      </c>
      <c r="AG131" s="13">
        <f t="shared" si="286"/>
        <v>438484.85000000003</v>
      </c>
      <c r="AH131" s="13">
        <f t="shared" si="286"/>
        <v>438202.3</v>
      </c>
      <c r="AI131" s="13">
        <f t="shared" si="286"/>
        <v>512082.9</v>
      </c>
      <c r="AJ131" s="13">
        <f t="shared" si="286"/>
        <v>504012.69999999995</v>
      </c>
      <c r="AK131" s="13">
        <f t="shared" ref="AK131:AM131" si="287">SUM(AK123:AK130)</f>
        <v>610652.5</v>
      </c>
      <c r="AL131" s="13">
        <f t="shared" si="287"/>
        <v>724761.45</v>
      </c>
      <c r="AM131" s="13">
        <f t="shared" si="287"/>
        <v>732582.84999999986</v>
      </c>
      <c r="AN131" s="13">
        <f t="shared" si="286"/>
        <v>743617.04999999993</v>
      </c>
      <c r="AO131" s="13">
        <f t="shared" si="286"/>
        <v>689017.29999999993</v>
      </c>
      <c r="AP131" s="13">
        <f t="shared" ref="AP131:AQ131" si="288">SUM(AP123:AP130)</f>
        <v>694285.29999999993</v>
      </c>
      <c r="AQ131" s="13">
        <f t="shared" si="288"/>
        <v>597094.65</v>
      </c>
      <c r="AR131" s="13">
        <f t="shared" ref="AR131" si="289">SUM(AR123:AR130)</f>
        <v>456086.11039235501</v>
      </c>
      <c r="AS131" s="13">
        <f t="shared" ref="AS131:AU131" si="290">SUM(AS123:AS130)</f>
        <v>661433.33255457995</v>
      </c>
      <c r="AT131" s="13">
        <f t="shared" si="290"/>
        <v>708537.07409804617</v>
      </c>
      <c r="AU131" s="13">
        <f t="shared" si="290"/>
        <v>736234.93387553038</v>
      </c>
      <c r="AV131" s="13">
        <f t="shared" ref="AV131:AY131" si="291">SUM(AV123:AV130)</f>
        <v>676161.9541863373</v>
      </c>
      <c r="AW131" s="13">
        <f t="shared" si="291"/>
        <v>763657.09785623488</v>
      </c>
      <c r="AX131" s="13">
        <f t="shared" si="291"/>
        <v>825420.61967047642</v>
      </c>
      <c r="AY131" s="13">
        <f t="shared" si="291"/>
        <v>859040.4431377952</v>
      </c>
    </row>
    <row r="133" spans="3:70" ht="15" thickBot="1" x14ac:dyDescent="0.35">
      <c r="F133" s="46" t="s">
        <v>111</v>
      </c>
      <c r="G133" s="20"/>
      <c r="H133" s="37">
        <f>SUM(H121,H131)</f>
        <v>45656</v>
      </c>
      <c r="I133" s="37">
        <f t="shared" ref="I133:V133" si="292">SUM(I121,I131)</f>
        <v>55015</v>
      </c>
      <c r="J133" s="37">
        <f t="shared" si="292"/>
        <v>62096.999999999971</v>
      </c>
      <c r="K133" s="37">
        <f t="shared" si="292"/>
        <v>51811</v>
      </c>
      <c r="L133" s="37">
        <f t="shared" si="292"/>
        <v>53903</v>
      </c>
      <c r="M133" s="37">
        <f t="shared" si="292"/>
        <v>45232</v>
      </c>
      <c r="N133" s="37">
        <f t="shared" si="292"/>
        <v>49355</v>
      </c>
      <c r="O133" s="37">
        <f t="shared" si="292"/>
        <v>62410</v>
      </c>
      <c r="P133" s="37">
        <f t="shared" si="292"/>
        <v>21676</v>
      </c>
      <c r="Q133" s="37">
        <f t="shared" si="292"/>
        <v>-3633</v>
      </c>
      <c r="R133" s="37">
        <f t="shared" si="292"/>
        <v>24021.000000000029</v>
      </c>
      <c r="S133" s="37">
        <f t="shared" si="292"/>
        <v>36671.999999999971</v>
      </c>
      <c r="T133" s="37">
        <f t="shared" si="292"/>
        <v>-20416.999999999971</v>
      </c>
      <c r="U133" s="37">
        <f t="shared" si="292"/>
        <v>32642.999999999971</v>
      </c>
      <c r="V133" s="37">
        <f t="shared" si="292"/>
        <v>140589</v>
      </c>
      <c r="W133" s="37">
        <f t="shared" ref="W133:AG133" si="293">SUM(W121,W131)</f>
        <v>65893</v>
      </c>
      <c r="X133" s="37">
        <f t="shared" si="293"/>
        <v>60866</v>
      </c>
      <c r="Y133" s="37">
        <f t="shared" si="293"/>
        <v>46638.999999999971</v>
      </c>
      <c r="Z133" s="37">
        <f t="shared" si="293"/>
        <v>-28510</v>
      </c>
      <c r="AA133" s="37">
        <f t="shared" si="293"/>
        <v>27016</v>
      </c>
      <c r="AB133" s="37">
        <f>SUM(AB121,AB131)</f>
        <v>-71676.5</v>
      </c>
      <c r="AC133" s="37">
        <f>SUM(AC121,AC131)</f>
        <v>7745.4999999999418</v>
      </c>
      <c r="AD133" s="37">
        <f>SUM(AD121,AD131)</f>
        <v>-16072.000000000058</v>
      </c>
      <c r="AE133" s="37">
        <f>SUM(AE121,AE131)</f>
        <v>16188</v>
      </c>
      <c r="AF133" s="37">
        <f t="shared" si="293"/>
        <v>-43594</v>
      </c>
      <c r="AG133" s="37">
        <f t="shared" si="293"/>
        <v>-21533</v>
      </c>
      <c r="AH133" s="37">
        <f t="shared" ref="AH133:AY133" si="294">SUM(AH121,AH131)</f>
        <v>-64591</v>
      </c>
      <c r="AI133" s="37">
        <f t="shared" si="294"/>
        <v>13340.000000000116</v>
      </c>
      <c r="AJ133" s="37">
        <f t="shared" si="294"/>
        <v>-1212.0000000000582</v>
      </c>
      <c r="AK133" s="37">
        <f t="shared" ref="AK133:AM133" si="295">SUM(AK121,AK131)</f>
        <v>106988</v>
      </c>
      <c r="AL133" s="37">
        <f t="shared" si="295"/>
        <v>143380.99999999988</v>
      </c>
      <c r="AM133" s="37">
        <f t="shared" si="295"/>
        <v>222412.99999999977</v>
      </c>
      <c r="AN133" s="37">
        <f t="shared" si="294"/>
        <v>178637.99999999988</v>
      </c>
      <c r="AO133" s="37">
        <f t="shared" si="294"/>
        <v>66703</v>
      </c>
      <c r="AP133" s="37">
        <f t="shared" ref="AP133:AQ133" si="296">SUM(AP121,AP131)</f>
        <v>58634</v>
      </c>
      <c r="AQ133" s="37">
        <f t="shared" si="296"/>
        <v>-61722</v>
      </c>
      <c r="AR133" s="37">
        <f t="shared" ref="AR133" si="297">SUM(AR121,AR131)</f>
        <v>-236114.13960764499</v>
      </c>
      <c r="AS133" s="37">
        <f t="shared" si="294"/>
        <v>-75532.168060793891</v>
      </c>
      <c r="AT133" s="37">
        <f t="shared" si="294"/>
        <v>-24856.498734372668</v>
      </c>
      <c r="AU133" s="37">
        <f t="shared" si="294"/>
        <v>-8733.812804070767</v>
      </c>
      <c r="AV133" s="37">
        <f t="shared" si="294"/>
        <v>-30377.590202752501</v>
      </c>
      <c r="AW133" s="37">
        <f t="shared" si="294"/>
        <v>-49842.80039187579</v>
      </c>
      <c r="AX133" s="37">
        <f t="shared" si="294"/>
        <v>17691.224122711807</v>
      </c>
      <c r="AY133" s="37">
        <f t="shared" si="294"/>
        <v>40219.159895265359</v>
      </c>
    </row>
    <row r="135" spans="3:70" x14ac:dyDescent="0.3">
      <c r="H135" s="9"/>
      <c r="I135" s="9"/>
      <c r="J135" s="9"/>
      <c r="K135" s="9"/>
      <c r="L135" s="9"/>
      <c r="M135" s="9"/>
      <c r="N135" s="9"/>
      <c r="O135" s="9"/>
      <c r="P135" s="9"/>
      <c r="Q135" s="9"/>
      <c r="R135" s="9"/>
      <c r="S135" s="9"/>
      <c r="T135" s="9"/>
      <c r="U135" s="9"/>
      <c r="V135" s="9"/>
      <c r="X135" s="9"/>
      <c r="AH135" s="9"/>
    </row>
    <row r="136" spans="3:70" ht="21" x14ac:dyDescent="0.4">
      <c r="E136" s="48" t="s">
        <v>112</v>
      </c>
    </row>
    <row r="137" spans="3:70" x14ac:dyDescent="0.3">
      <c r="C137" s="9">
        <v>-92127.6</v>
      </c>
      <c r="F137" t="s">
        <v>81</v>
      </c>
      <c r="G137" t="s">
        <v>103</v>
      </c>
      <c r="H137" s="9">
        <f>-(H51+0.9*H52)</f>
        <v>-104982.6</v>
      </c>
      <c r="I137" s="9">
        <f t="shared" ref="I137:AK137" si="298">-(I51+0.9*I52)</f>
        <v>-92127.6</v>
      </c>
      <c r="J137" s="9">
        <f t="shared" si="298"/>
        <v>-105738.9</v>
      </c>
      <c r="K137" s="9">
        <f t="shared" si="298"/>
        <v>-89723.3</v>
      </c>
      <c r="L137" s="9">
        <f t="shared" si="298"/>
        <v>-81808.7</v>
      </c>
      <c r="M137" s="9">
        <f t="shared" si="298"/>
        <v>-109233.1</v>
      </c>
      <c r="N137" s="9">
        <f t="shared" si="298"/>
        <v>-124171</v>
      </c>
      <c r="O137" s="9">
        <f t="shared" si="298"/>
        <v>-110703.3</v>
      </c>
      <c r="P137" s="9">
        <f t="shared" si="298"/>
        <v>-124818.5</v>
      </c>
      <c r="Q137" s="9">
        <f t="shared" si="298"/>
        <v>-154382.1</v>
      </c>
      <c r="R137" s="9">
        <f t="shared" si="298"/>
        <v>-150875.1</v>
      </c>
      <c r="S137" s="9">
        <f t="shared" si="298"/>
        <v>-142947.4</v>
      </c>
      <c r="T137" s="9">
        <f t="shared" si="298"/>
        <v>-159108.1</v>
      </c>
      <c r="U137" s="9">
        <f t="shared" si="298"/>
        <v>-169130.7</v>
      </c>
      <c r="V137" s="9">
        <f t="shared" si="298"/>
        <v>-171348.4</v>
      </c>
      <c r="W137" s="9">
        <f t="shared" si="298"/>
        <v>-171691.3</v>
      </c>
      <c r="X137" s="9">
        <f t="shared" si="298"/>
        <v>-194913.8</v>
      </c>
      <c r="Y137" s="9">
        <f t="shared" si="298"/>
        <v>-154990.39999999999</v>
      </c>
      <c r="Z137" s="9">
        <f t="shared" si="298"/>
        <v>-224434.7</v>
      </c>
      <c r="AA137" s="9">
        <f t="shared" si="298"/>
        <v>-182361.1</v>
      </c>
      <c r="AB137" s="9">
        <f t="shared" si="298"/>
        <v>-234674.4</v>
      </c>
      <c r="AC137" s="9">
        <f t="shared" si="298"/>
        <v>-240549.6</v>
      </c>
      <c r="AD137" s="9">
        <f t="shared" si="298"/>
        <v>-274871.09999999998</v>
      </c>
      <c r="AE137" s="9">
        <f t="shared" si="298"/>
        <v>-234100</v>
      </c>
      <c r="AF137" s="9">
        <f t="shared" si="298"/>
        <v>-292059.59999999998</v>
      </c>
      <c r="AG137" s="9">
        <f t="shared" si="298"/>
        <v>-307319.90000000002</v>
      </c>
      <c r="AH137" s="9">
        <f t="shared" si="298"/>
        <v>-329509.2</v>
      </c>
      <c r="AI137" s="9">
        <f t="shared" si="298"/>
        <v>-331408.59999999998</v>
      </c>
      <c r="AJ137" s="9">
        <f t="shared" si="298"/>
        <v>-344425.7</v>
      </c>
      <c r="AK137" s="9">
        <f t="shared" si="298"/>
        <v>-364178.7</v>
      </c>
      <c r="AL137" s="9">
        <f t="shared" ref="AL137:AM137" si="299">-(AL51+0.9*AL52)</f>
        <v>-399862.5</v>
      </c>
      <c r="AM137" s="9">
        <f t="shared" si="299"/>
        <v>-361670.40000000002</v>
      </c>
      <c r="AN137" s="9">
        <f t="shared" ref="AN137:AO137" si="300">-(AN51+0.9*AN52)</f>
        <v>-409691</v>
      </c>
      <c r="AO137" s="9">
        <f t="shared" si="300"/>
        <v>-467527.8</v>
      </c>
      <c r="AP137" s="9">
        <f t="shared" ref="AP137:AQ137" si="301">-(AP51+0.9*AP52)</f>
        <v>-430419.8</v>
      </c>
      <c r="AQ137" s="9">
        <f t="shared" si="301"/>
        <v>-432830.3</v>
      </c>
      <c r="AR137" s="9">
        <f t="shared" ref="AR137" si="302">-(AR51+0.9*AR52)</f>
        <v>-485371.9</v>
      </c>
    </row>
    <row r="138" spans="3:70" x14ac:dyDescent="0.3">
      <c r="C138" s="9">
        <v>1052.2</v>
      </c>
      <c r="G138" t="s">
        <v>105</v>
      </c>
      <c r="H138" s="9">
        <f>H29+0.9*H30</f>
        <v>315.90000000000003</v>
      </c>
      <c r="I138" s="9">
        <f t="shared" ref="I138:AK138" si="303">I29+0.9*I30</f>
        <v>1052.2</v>
      </c>
      <c r="J138" s="9">
        <f t="shared" si="303"/>
        <v>496.5</v>
      </c>
      <c r="K138" s="9">
        <f t="shared" si="303"/>
        <v>157.1</v>
      </c>
      <c r="L138" s="9">
        <f t="shared" si="303"/>
        <v>271.39999999999998</v>
      </c>
      <c r="M138" s="9">
        <f t="shared" si="303"/>
        <v>942.7</v>
      </c>
      <c r="N138" s="9">
        <f t="shared" si="303"/>
        <v>749</v>
      </c>
      <c r="O138" s="9">
        <f t="shared" si="303"/>
        <v>398.5</v>
      </c>
      <c r="P138" s="9">
        <f t="shared" si="303"/>
        <v>247.7</v>
      </c>
      <c r="Q138" s="9">
        <f t="shared" si="303"/>
        <v>1280.5999999999999</v>
      </c>
      <c r="R138" s="9">
        <f t="shared" si="303"/>
        <v>479.3</v>
      </c>
      <c r="S138" s="9">
        <f t="shared" si="303"/>
        <v>1974.9</v>
      </c>
      <c r="T138" s="9">
        <f t="shared" si="303"/>
        <v>1564</v>
      </c>
      <c r="U138" s="9">
        <f t="shared" si="303"/>
        <v>2099</v>
      </c>
      <c r="V138" s="9">
        <f t="shared" si="303"/>
        <v>2409</v>
      </c>
      <c r="W138" s="9">
        <f t="shared" si="303"/>
        <v>2</v>
      </c>
      <c r="X138" s="9">
        <f t="shared" si="303"/>
        <v>3523</v>
      </c>
      <c r="Y138" s="9">
        <f t="shared" si="303"/>
        <v>5920.6</v>
      </c>
      <c r="Z138" s="9">
        <f t="shared" si="303"/>
        <v>3055.9</v>
      </c>
      <c r="AA138" s="9">
        <f t="shared" si="303"/>
        <v>1720.1000000000001</v>
      </c>
      <c r="AB138" s="9">
        <f t="shared" si="303"/>
        <v>4310.1000000000004</v>
      </c>
      <c r="AC138" s="9">
        <f t="shared" si="303"/>
        <v>12084.1</v>
      </c>
      <c r="AD138" s="9">
        <f t="shared" si="303"/>
        <v>5949.8</v>
      </c>
      <c r="AE138" s="9">
        <f t="shared" si="303"/>
        <v>6682.6</v>
      </c>
      <c r="AF138" s="9">
        <f t="shared" si="303"/>
        <v>11560</v>
      </c>
      <c r="AG138" s="9">
        <f t="shared" si="303"/>
        <v>14710.6</v>
      </c>
      <c r="AH138" s="9">
        <f t="shared" si="303"/>
        <v>12437.5</v>
      </c>
      <c r="AI138" s="9">
        <f t="shared" si="303"/>
        <v>10557.9</v>
      </c>
      <c r="AJ138" s="9">
        <f t="shared" si="303"/>
        <v>15061.7</v>
      </c>
      <c r="AK138" s="9">
        <f t="shared" si="303"/>
        <v>23085.1</v>
      </c>
      <c r="AL138" s="9">
        <f t="shared" ref="AL138:AM138" si="304">AL29+0.9*AL30</f>
        <v>10311.1</v>
      </c>
      <c r="AM138" s="9">
        <f t="shared" si="304"/>
        <v>10668.6</v>
      </c>
      <c r="AN138" s="9">
        <f t="shared" ref="AN138:AO138" si="305">AN29+0.9*AN30</f>
        <v>12768.1</v>
      </c>
      <c r="AO138" s="9">
        <f t="shared" si="305"/>
        <v>17128.7</v>
      </c>
      <c r="AP138" s="9">
        <f t="shared" ref="AP138:AQ138" si="306">AP29+0.9*AP30</f>
        <v>18887.900000000001</v>
      </c>
      <c r="AQ138" s="9">
        <f t="shared" si="306"/>
        <v>15256.9</v>
      </c>
      <c r="AR138" s="9">
        <f t="shared" ref="AR138" si="307">AR29+0.9*AR30</f>
        <v>13099.7</v>
      </c>
    </row>
    <row r="139" spans="3:70" x14ac:dyDescent="0.3">
      <c r="C139" s="9">
        <v>-3854.4</v>
      </c>
      <c r="F139" t="s">
        <v>82</v>
      </c>
      <c r="G139" t="s">
        <v>103</v>
      </c>
      <c r="H139" s="9">
        <f>-(SUM(H60:H63)+0.1*H52)</f>
        <v>-48.400000000000006</v>
      </c>
      <c r="I139" s="9">
        <f t="shared" ref="I139:AK139" si="308">-(SUM(I60:I63)+0.1*I52)</f>
        <v>-3854.4</v>
      </c>
      <c r="J139" s="9">
        <f t="shared" si="308"/>
        <v>-6493.1</v>
      </c>
      <c r="K139" s="9">
        <f t="shared" si="308"/>
        <v>-3714.7</v>
      </c>
      <c r="L139" s="9">
        <f t="shared" si="308"/>
        <v>-10686.3</v>
      </c>
      <c r="M139" s="9">
        <f t="shared" si="308"/>
        <v>-13599.9</v>
      </c>
      <c r="N139" s="9">
        <f t="shared" si="308"/>
        <v>-15532</v>
      </c>
      <c r="O139" s="9">
        <f t="shared" si="308"/>
        <v>-21146.7</v>
      </c>
      <c r="P139" s="9">
        <f t="shared" si="308"/>
        <v>-4221.5</v>
      </c>
      <c r="Q139" s="9">
        <f t="shared" si="308"/>
        <v>-3235.9</v>
      </c>
      <c r="R139" s="9">
        <f t="shared" si="308"/>
        <v>-5638.9</v>
      </c>
      <c r="S139" s="9">
        <f t="shared" si="308"/>
        <v>-7642.6</v>
      </c>
      <c r="T139" s="9">
        <f t="shared" si="308"/>
        <v>-4684.8999999999996</v>
      </c>
      <c r="U139" s="9">
        <f t="shared" si="308"/>
        <v>-9406.2999999999993</v>
      </c>
      <c r="V139" s="9">
        <f t="shared" si="308"/>
        <v>-11834.6</v>
      </c>
      <c r="W139" s="9">
        <f t="shared" si="308"/>
        <v>-6996.7</v>
      </c>
      <c r="X139" s="9">
        <f t="shared" si="308"/>
        <v>-2018.2</v>
      </c>
      <c r="Y139" s="9">
        <f t="shared" si="308"/>
        <v>-504.6</v>
      </c>
      <c r="Z139" s="9">
        <f t="shared" si="308"/>
        <v>-12015.3</v>
      </c>
      <c r="AA139" s="9">
        <f t="shared" si="308"/>
        <v>-5242.9</v>
      </c>
      <c r="AB139" s="9">
        <f t="shared" si="308"/>
        <v>-2406.6</v>
      </c>
      <c r="AC139" s="9">
        <f t="shared" si="308"/>
        <v>-944.40000000000009</v>
      </c>
      <c r="AD139" s="9">
        <f t="shared" si="308"/>
        <v>-3951.9</v>
      </c>
      <c r="AE139" s="9">
        <f t="shared" si="308"/>
        <v>-3240</v>
      </c>
      <c r="AF139" s="9">
        <f t="shared" si="308"/>
        <v>-7375.4</v>
      </c>
      <c r="AG139" s="9">
        <f t="shared" si="308"/>
        <v>-1360.1</v>
      </c>
      <c r="AH139" s="9">
        <f t="shared" si="308"/>
        <v>-7632.8</v>
      </c>
      <c r="AI139" s="9">
        <f t="shared" si="308"/>
        <v>-3773.4</v>
      </c>
      <c r="AJ139" s="9">
        <f t="shared" si="308"/>
        <v>-683.30000000000007</v>
      </c>
      <c r="AK139" s="9">
        <f t="shared" si="308"/>
        <v>-8556.2999999999993</v>
      </c>
      <c r="AL139" s="9">
        <f t="shared" ref="AL139:AM139" si="309">-(SUM(AL60:AL63)+0.1*AL52)</f>
        <v>-4327.5</v>
      </c>
      <c r="AM139" s="9">
        <f t="shared" si="309"/>
        <v>-4485.6000000000004</v>
      </c>
      <c r="AN139" s="9">
        <f t="shared" ref="AN139:AO139" si="310">-(SUM(AN60:AN63)+0.1*AN52)</f>
        <v>-5650</v>
      </c>
      <c r="AO139" s="9">
        <f t="shared" si="310"/>
        <v>-10233.200000000001</v>
      </c>
      <c r="AP139" s="9">
        <f t="shared" ref="AP139:AQ139" si="311">-(SUM(AP60:AP63)+0.1*AP52)</f>
        <v>-4318.2</v>
      </c>
      <c r="AQ139" s="9">
        <f t="shared" si="311"/>
        <v>-19769.7</v>
      </c>
      <c r="AR139" s="9">
        <f t="shared" ref="AR139" si="312">-(SUM(AR60:AR63)+0.1*AR52)</f>
        <v>-11077.1</v>
      </c>
    </row>
    <row r="140" spans="3:70" x14ac:dyDescent="0.3">
      <c r="C140" s="9">
        <v>122637.8</v>
      </c>
      <c r="G140" t="s">
        <v>105</v>
      </c>
      <c r="H140" s="9">
        <f>SUM(H39:H42)+0.1*H30</f>
        <v>138694.1</v>
      </c>
      <c r="I140" s="9">
        <f t="shared" ref="I140:AK140" si="313">SUM(I39:I42)+0.1*I30</f>
        <v>122637.8</v>
      </c>
      <c r="J140" s="9">
        <f t="shared" si="313"/>
        <v>141031.5</v>
      </c>
      <c r="K140" s="9">
        <f t="shared" si="313"/>
        <v>111685.9</v>
      </c>
      <c r="L140" s="9">
        <f t="shared" si="313"/>
        <v>121139.6</v>
      </c>
      <c r="M140" s="9">
        <f t="shared" si="313"/>
        <v>130510.3</v>
      </c>
      <c r="N140" s="9">
        <f t="shared" si="313"/>
        <v>146599</v>
      </c>
      <c r="O140" s="9">
        <f t="shared" si="313"/>
        <v>142393.5</v>
      </c>
      <c r="P140" s="9">
        <f t="shared" si="313"/>
        <v>121087.3</v>
      </c>
      <c r="Q140" s="9">
        <f t="shared" si="313"/>
        <v>116770.4</v>
      </c>
      <c r="R140" s="9">
        <f t="shared" si="313"/>
        <v>140358.70000000001</v>
      </c>
      <c r="S140" s="9">
        <f t="shared" si="313"/>
        <v>137650.1</v>
      </c>
      <c r="T140" s="9">
        <f t="shared" si="313"/>
        <v>113165</v>
      </c>
      <c r="U140" s="9">
        <f t="shared" si="313"/>
        <v>136516</v>
      </c>
      <c r="V140" s="9">
        <f t="shared" si="313"/>
        <v>158158</v>
      </c>
      <c r="W140" s="9">
        <f t="shared" si="313"/>
        <v>145929</v>
      </c>
      <c r="X140" s="9">
        <f t="shared" si="313"/>
        <v>124567</v>
      </c>
      <c r="Y140" s="9">
        <f t="shared" si="313"/>
        <v>108772.4</v>
      </c>
      <c r="Z140" s="9">
        <f t="shared" si="313"/>
        <v>145996.1</v>
      </c>
      <c r="AA140" s="9">
        <f t="shared" si="313"/>
        <v>128626.9</v>
      </c>
      <c r="AB140" s="9">
        <f t="shared" si="313"/>
        <v>110821.9</v>
      </c>
      <c r="AC140" s="9">
        <f t="shared" si="313"/>
        <v>151405.9</v>
      </c>
      <c r="AD140" s="9">
        <f t="shared" si="313"/>
        <v>156529.20000000001</v>
      </c>
      <c r="AE140" s="9">
        <f t="shared" si="313"/>
        <v>133420.4</v>
      </c>
      <c r="AF140" s="9">
        <f t="shared" si="313"/>
        <v>122467</v>
      </c>
      <c r="AG140" s="9">
        <f t="shared" si="313"/>
        <v>138976.4</v>
      </c>
      <c r="AH140" s="9">
        <f t="shared" si="313"/>
        <v>143701.5</v>
      </c>
      <c r="AI140" s="9">
        <f t="shared" si="313"/>
        <v>122935.1</v>
      </c>
      <c r="AJ140" s="9">
        <f t="shared" si="313"/>
        <v>136272.29999999999</v>
      </c>
      <c r="AK140" s="9">
        <f t="shared" si="313"/>
        <v>142301.9</v>
      </c>
      <c r="AL140" s="9">
        <f t="shared" ref="AL140:AM140" si="314">SUM(AL39:AL42)+0.1*AL30</f>
        <v>131972.9</v>
      </c>
      <c r="AM140" s="9">
        <f t="shared" si="314"/>
        <v>142909.4</v>
      </c>
      <c r="AN140" s="9">
        <f t="shared" ref="AN140:AO140" si="315">SUM(AN39:AN42)+0.1*AN30</f>
        <v>117416.9</v>
      </c>
      <c r="AO140" s="9">
        <f t="shared" si="315"/>
        <v>147464.29999999999</v>
      </c>
      <c r="AP140" s="9">
        <f t="shared" ref="AP140:AQ140" si="316">SUM(AP39:AP42)+0.1*AP30</f>
        <v>154994.1</v>
      </c>
      <c r="AQ140" s="9">
        <f t="shared" si="316"/>
        <v>143277.1</v>
      </c>
      <c r="AR140" s="9">
        <f t="shared" ref="AR140" si="317">SUM(AR39:AR42)+0.1*AR30</f>
        <v>130957.3</v>
      </c>
    </row>
    <row r="141" spans="3:70" x14ac:dyDescent="0.3">
      <c r="C141" s="9">
        <v>-47313.35</v>
      </c>
      <c r="F141" t="s">
        <v>113</v>
      </c>
      <c r="G141" t="s">
        <v>103</v>
      </c>
      <c r="H141" s="9">
        <f>-(SUM(H48,0.8*H49,0.95*H50))</f>
        <v>-56497.25</v>
      </c>
      <c r="I141" s="9">
        <f t="shared" ref="I141:AK141" si="318">-(SUM(I48,0.8*I49,0.95*I50))</f>
        <v>-47313.35</v>
      </c>
      <c r="J141" s="9">
        <f t="shared" si="318"/>
        <v>-54393.3</v>
      </c>
      <c r="K141" s="9">
        <f t="shared" si="318"/>
        <v>-48497.55</v>
      </c>
      <c r="L141" s="9">
        <f t="shared" si="318"/>
        <v>-45777.9</v>
      </c>
      <c r="M141" s="9">
        <f t="shared" si="318"/>
        <v>-61057.25</v>
      </c>
      <c r="N141" s="9">
        <f t="shared" si="318"/>
        <v>-63539.55</v>
      </c>
      <c r="O141" s="9">
        <f t="shared" si="318"/>
        <v>-53301.65</v>
      </c>
      <c r="P141" s="9">
        <f t="shared" si="318"/>
        <v>-67373.55</v>
      </c>
      <c r="Q141" s="9">
        <f t="shared" si="318"/>
        <v>-76992.149999999994</v>
      </c>
      <c r="R141" s="9">
        <f t="shared" si="318"/>
        <v>-86357.3</v>
      </c>
      <c r="S141" s="9">
        <f t="shared" si="318"/>
        <v>-71918.600000000006</v>
      </c>
      <c r="T141" s="9">
        <f t="shared" si="318"/>
        <v>-84005.599999999991</v>
      </c>
      <c r="U141" s="9">
        <f t="shared" si="318"/>
        <v>-81019.150000000009</v>
      </c>
      <c r="V141" s="9">
        <f t="shared" si="318"/>
        <v>-91002.25</v>
      </c>
      <c r="W141" s="9">
        <f t="shared" si="318"/>
        <v>-86482</v>
      </c>
      <c r="X141" s="9">
        <f t="shared" si="318"/>
        <v>-88969.85</v>
      </c>
      <c r="Y141" s="9">
        <f t="shared" si="318"/>
        <v>-111346.75</v>
      </c>
      <c r="Z141" s="9">
        <f t="shared" si="318"/>
        <v>-108028</v>
      </c>
      <c r="AA141" s="9">
        <f t="shared" si="318"/>
        <v>-110561.2</v>
      </c>
      <c r="AB141" s="9">
        <f t="shared" si="318"/>
        <v>-138859.04999999999</v>
      </c>
      <c r="AC141" s="9">
        <f t="shared" si="318"/>
        <v>-139454.05000000002</v>
      </c>
      <c r="AD141" s="9">
        <f t="shared" si="318"/>
        <v>-152648.05000000002</v>
      </c>
      <c r="AE141" s="9">
        <f t="shared" si="318"/>
        <v>-128149.65</v>
      </c>
      <c r="AF141" s="9">
        <f t="shared" si="318"/>
        <v>-189009.6</v>
      </c>
      <c r="AG141" s="9">
        <f t="shared" si="318"/>
        <v>-169361.19999999998</v>
      </c>
      <c r="AH141" s="9">
        <f t="shared" si="318"/>
        <v>-189267.05</v>
      </c>
      <c r="AI141" s="9">
        <f t="shared" si="318"/>
        <v>-181158.65</v>
      </c>
      <c r="AJ141" s="9">
        <f t="shared" si="318"/>
        <v>-182059.5</v>
      </c>
      <c r="AK141" s="9">
        <f t="shared" si="318"/>
        <v>-168402.05</v>
      </c>
      <c r="AL141" s="9">
        <f t="shared" ref="AL141:AM141" si="319">-(SUM(AL48,0.8*AL49,0.95*AL50))</f>
        <v>-199536.85</v>
      </c>
      <c r="AM141" s="9">
        <f t="shared" si="319"/>
        <v>-166502.1</v>
      </c>
      <c r="AN141" s="9">
        <f t="shared" ref="AN141:AO141" si="320">-(SUM(AN48,0.8*AN49,0.95*AN50))</f>
        <v>-177447.4</v>
      </c>
      <c r="AO141" s="9">
        <f t="shared" si="320"/>
        <v>-185042.05</v>
      </c>
      <c r="AP141" s="9">
        <f t="shared" ref="AP141:AQ141" si="321">-(SUM(AP48,0.8*AP49,0.95*AP50))</f>
        <v>-238225.25</v>
      </c>
      <c r="AQ141" s="9">
        <f t="shared" si="321"/>
        <v>-251902.30000000002</v>
      </c>
      <c r="AR141" s="9">
        <f t="shared" ref="AR141" si="322">-(SUM(AR48,0.8*AR49,0.95*AR50))</f>
        <v>-232551.75</v>
      </c>
      <c r="BF141" s="9"/>
      <c r="BJ141" s="9"/>
      <c r="BN141" s="9"/>
      <c r="BP141" s="9"/>
      <c r="BR141" s="9"/>
    </row>
    <row r="142" spans="3:70" x14ac:dyDescent="0.3">
      <c r="C142" s="9">
        <v>1173.75</v>
      </c>
      <c r="G142" t="s">
        <v>105</v>
      </c>
      <c r="H142" s="9">
        <f>(SUM(H26,0.8*H27,0.95*H28))</f>
        <v>352.55</v>
      </c>
      <c r="I142" s="9">
        <f t="shared" ref="I142:AK142" si="323">(SUM(I26,0.8*I27,0.95*I28))</f>
        <v>1173.75</v>
      </c>
      <c r="J142" s="9">
        <f t="shared" si="323"/>
        <v>304.35000000000002</v>
      </c>
      <c r="K142" s="9">
        <f t="shared" si="323"/>
        <v>590</v>
      </c>
      <c r="L142" s="9">
        <f t="shared" si="323"/>
        <v>472.1</v>
      </c>
      <c r="M142" s="9">
        <f t="shared" si="323"/>
        <v>985.45</v>
      </c>
      <c r="N142" s="9">
        <f t="shared" si="323"/>
        <v>779.7</v>
      </c>
      <c r="O142" s="9">
        <f t="shared" si="323"/>
        <v>621.29999999999995</v>
      </c>
      <c r="P142" s="9">
        <f t="shared" si="323"/>
        <v>1158.9000000000001</v>
      </c>
      <c r="Q142" s="9">
        <f t="shared" si="323"/>
        <v>1904.1</v>
      </c>
      <c r="R142" s="9">
        <f t="shared" si="323"/>
        <v>1626.35</v>
      </c>
      <c r="S142" s="9">
        <f t="shared" si="323"/>
        <v>2082.6999999999998</v>
      </c>
      <c r="T142" s="9">
        <f t="shared" si="323"/>
        <v>2341.1</v>
      </c>
      <c r="U142" s="9">
        <f t="shared" si="323"/>
        <v>1582.05</v>
      </c>
      <c r="V142" s="9">
        <f t="shared" si="323"/>
        <v>1441.4</v>
      </c>
      <c r="W142" s="9">
        <f t="shared" si="323"/>
        <v>301.7</v>
      </c>
      <c r="X142" s="9">
        <f t="shared" si="323"/>
        <v>1007.3</v>
      </c>
      <c r="Y142" s="9">
        <f t="shared" si="323"/>
        <v>652.09999999999991</v>
      </c>
      <c r="Z142" s="9">
        <f t="shared" si="323"/>
        <v>2256</v>
      </c>
      <c r="AA142" s="9">
        <f t="shared" si="323"/>
        <v>2934.65</v>
      </c>
      <c r="AB142" s="9">
        <f t="shared" si="323"/>
        <v>1837.1</v>
      </c>
      <c r="AC142" s="9">
        <f t="shared" si="323"/>
        <v>1883.35</v>
      </c>
      <c r="AD142" s="9">
        <f t="shared" si="323"/>
        <v>1742.05</v>
      </c>
      <c r="AE142" s="9">
        <f t="shared" si="323"/>
        <v>1435.75</v>
      </c>
      <c r="AF142" s="9">
        <f t="shared" si="323"/>
        <v>2253.9</v>
      </c>
      <c r="AG142" s="9">
        <f t="shared" si="323"/>
        <v>1952.6499999999999</v>
      </c>
      <c r="AH142" s="9">
        <f t="shared" si="323"/>
        <v>3545.45</v>
      </c>
      <c r="AI142" s="9">
        <f t="shared" si="323"/>
        <v>3266.45</v>
      </c>
      <c r="AJ142" s="9">
        <f t="shared" si="323"/>
        <v>6198.8</v>
      </c>
      <c r="AK142" s="9">
        <f t="shared" si="323"/>
        <v>5831.15</v>
      </c>
      <c r="AL142" s="9">
        <f t="shared" ref="AL142:AM142" si="324">(SUM(AL26,0.8*AL27,0.95*AL28))</f>
        <v>7707.7999999999993</v>
      </c>
      <c r="AM142" s="9">
        <f t="shared" si="324"/>
        <v>7334.0499999999993</v>
      </c>
      <c r="AN142" s="9">
        <f t="shared" ref="AN142:AO142" si="325">(SUM(AN26,0.8*AN27,0.95*AN28))</f>
        <v>9391.25</v>
      </c>
      <c r="AO142" s="9">
        <f t="shared" si="325"/>
        <v>13126.85</v>
      </c>
      <c r="AP142" s="9">
        <f t="shared" ref="AP142:AQ142" si="326">(SUM(AP26,0.8*AP27,0.95*AP28))</f>
        <v>14105.849999999999</v>
      </c>
      <c r="AQ142" s="9">
        <f t="shared" si="326"/>
        <v>10659.05</v>
      </c>
      <c r="AR142" s="9">
        <f t="shared" ref="AR142" si="327">(SUM(AR26,0.8*AR27,0.95*AR28))</f>
        <v>12623.699999999999</v>
      </c>
    </row>
    <row r="143" spans="3:70" x14ac:dyDescent="0.3">
      <c r="C143" s="9">
        <v>-1266.6500000000001</v>
      </c>
      <c r="F143" t="s">
        <v>18</v>
      </c>
      <c r="G143" t="s">
        <v>103</v>
      </c>
      <c r="H143" s="9">
        <f>-SUM(H56,0.2*H49*(H56/SUM(H56:H57)),0.05*H50*(H56/SUM(H56:H57)))</f>
        <v>-170.75</v>
      </c>
      <c r="I143" s="9">
        <f t="shared" ref="I143:AK143" si="328">-SUM(I56,0.2*I49*(I56/SUM(I56:I57)),0.05*I50*(I56/SUM(I56:I57)))</f>
        <v>-1266.6500000000001</v>
      </c>
      <c r="J143" s="9">
        <f t="shared" si="328"/>
        <v>-1296.7</v>
      </c>
      <c r="K143" s="9">
        <f t="shared" si="328"/>
        <v>-491.45</v>
      </c>
      <c r="L143" s="9">
        <f t="shared" si="328"/>
        <v>-527.1</v>
      </c>
      <c r="M143" s="9">
        <f t="shared" si="328"/>
        <v>-922.75</v>
      </c>
      <c r="N143" s="9">
        <f t="shared" si="328"/>
        <v>-2159.4499999999998</v>
      </c>
      <c r="O143" s="9">
        <f t="shared" si="328"/>
        <v>-1304.3499999999999</v>
      </c>
      <c r="P143" s="9">
        <f t="shared" si="328"/>
        <v>-685.72016248153614</v>
      </c>
      <c r="Q143" s="9">
        <f t="shared" si="328"/>
        <v>-1155.8499999999999</v>
      </c>
      <c r="R143" s="9">
        <f t="shared" si="328"/>
        <v>-1122.7</v>
      </c>
      <c r="S143" s="9">
        <f t="shared" si="328"/>
        <v>-617.4</v>
      </c>
      <c r="T143" s="9">
        <f t="shared" si="328"/>
        <v>-1922.3999999999999</v>
      </c>
      <c r="U143" s="9">
        <f t="shared" si="328"/>
        <v>-1487.8500000000001</v>
      </c>
      <c r="V143" s="9">
        <f t="shared" si="328"/>
        <v>-1596.75</v>
      </c>
      <c r="W143" s="9">
        <f t="shared" si="328"/>
        <v>-997</v>
      </c>
      <c r="X143" s="9">
        <f t="shared" si="328"/>
        <v>-218.4233695652174</v>
      </c>
      <c r="Y143" s="9">
        <f t="shared" si="328"/>
        <v>-3998.5159574468084</v>
      </c>
      <c r="Z143" s="9">
        <f t="shared" si="328"/>
        <v>-1505.3806525472237</v>
      </c>
      <c r="AA143" s="9">
        <f t="shared" si="328"/>
        <v>-3259.8480503899223</v>
      </c>
      <c r="AB143" s="9">
        <f t="shared" si="328"/>
        <v>-1382.5944054905224</v>
      </c>
      <c r="AC143" s="9">
        <f t="shared" si="328"/>
        <v>-385.03193910529001</v>
      </c>
      <c r="AD143" s="9">
        <f t="shared" si="328"/>
        <v>-2340.5591743119267</v>
      </c>
      <c r="AE143" s="9">
        <f t="shared" si="328"/>
        <v>-257.71461250824842</v>
      </c>
      <c r="AF143" s="9">
        <f t="shared" si="328"/>
        <v>-1337.2691678035471</v>
      </c>
      <c r="AG143" s="9">
        <f t="shared" si="328"/>
        <v>-10621.366346310473</v>
      </c>
      <c r="AH143" s="9">
        <f t="shared" si="328"/>
        <v>-5655.1802129947109</v>
      </c>
      <c r="AI143" s="9">
        <f t="shared" si="328"/>
        <v>-4677.2122755123601</v>
      </c>
      <c r="AJ143" s="9">
        <f t="shared" si="328"/>
        <v>-938.32010050251256</v>
      </c>
      <c r="AK143" s="9">
        <f t="shared" si="328"/>
        <v>-896.45806176351073</v>
      </c>
      <c r="AL143" s="9">
        <f t="shared" ref="AL143:AM143" si="329">-SUM(AL56,0.2*AL49*(AL56/SUM(AL56:AL57)),0.05*AL50*(AL56/SUM(AL56:AL57)))</f>
        <v>-1897.7764650337645</v>
      </c>
      <c r="AM143" s="9">
        <f t="shared" si="329"/>
        <v>-653.74853083374444</v>
      </c>
      <c r="AN143" s="9">
        <f t="shared" ref="AN143:AO143" si="330">-SUM(AN56,0.2*AN49*(AN56/SUM(AN56:AN57)),0.05*AN50*(AN56/SUM(AN56:AN57)))</f>
        <v>-1678.4602274840831</v>
      </c>
      <c r="AO143" s="9">
        <f t="shared" si="330"/>
        <v>-1664.8225452161814</v>
      </c>
      <c r="AP143" s="9">
        <f t="shared" ref="AP143:AQ143" si="331">-SUM(AP56,0.2*AP49*(AP56/SUM(AP56:AP57)),0.05*AP50*(AP56/SUM(AP56:AP57)))</f>
        <v>-483.33820620861638</v>
      </c>
      <c r="AQ143" s="9">
        <f t="shared" si="331"/>
        <v>-1360.0614475321445</v>
      </c>
      <c r="AR143" s="9">
        <f t="shared" ref="AR143" si="332">-SUM(AR56,0.2*AR49*(AR56/SUM(AR56:AR57)),0.05*AR50*(AR56/SUM(AR56:AR57)))</f>
        <v>-2617.3043261278731</v>
      </c>
    </row>
    <row r="144" spans="3:70" x14ac:dyDescent="0.3">
      <c r="C144" s="9">
        <v>65184.25</v>
      </c>
      <c r="G144" t="s">
        <v>105</v>
      </c>
      <c r="H144" s="9">
        <f>SUM(H34,0.2*H27*(H34/SUM(H34:H35)),0.05*H28*(H34/SUM(H34:H35)))</f>
        <v>58535.45</v>
      </c>
      <c r="I144" s="9">
        <f t="shared" ref="I144:AK144" si="333">SUM(I34,0.2*I27*(I34/SUM(I34:I35)),0.05*I28*(I34/SUM(I34:I35)))</f>
        <v>65184.25</v>
      </c>
      <c r="J144" s="9">
        <f t="shared" si="333"/>
        <v>76536.649999999994</v>
      </c>
      <c r="K144" s="9">
        <f t="shared" si="333"/>
        <v>69425</v>
      </c>
      <c r="L144" s="9">
        <f t="shared" si="333"/>
        <v>57473.9</v>
      </c>
      <c r="M144" s="9">
        <f t="shared" si="333"/>
        <v>83399.55</v>
      </c>
      <c r="N144" s="9">
        <f t="shared" si="333"/>
        <v>92234.3</v>
      </c>
      <c r="O144" s="9">
        <f t="shared" si="333"/>
        <v>88402.364302230009</v>
      </c>
      <c r="P144" s="9">
        <f t="shared" si="333"/>
        <v>73409.366444146566</v>
      </c>
      <c r="Q144" s="9">
        <f t="shared" si="333"/>
        <v>88849.069200915517</v>
      </c>
      <c r="R144" s="9">
        <f t="shared" si="333"/>
        <v>101531.73239736639</v>
      </c>
      <c r="S144" s="9">
        <f t="shared" si="333"/>
        <v>91223.083479329463</v>
      </c>
      <c r="T144" s="9">
        <f t="shared" si="333"/>
        <v>83643.89034535778</v>
      </c>
      <c r="U144" s="9">
        <f t="shared" si="333"/>
        <v>121931.67814397121</v>
      </c>
      <c r="V144" s="9">
        <f t="shared" si="333"/>
        <v>125308.690061976</v>
      </c>
      <c r="W144" s="9">
        <f t="shared" si="333"/>
        <v>116168.98353013491</v>
      </c>
      <c r="X144" s="9">
        <f t="shared" si="333"/>
        <v>116657.36065868131</v>
      </c>
      <c r="Y144" s="9">
        <f t="shared" si="333"/>
        <v>112450.84379158895</v>
      </c>
      <c r="Z144" s="9">
        <f t="shared" si="333"/>
        <v>126320.6612109752</v>
      </c>
      <c r="AA144" s="9">
        <f t="shared" si="333"/>
        <v>126072.45739645541</v>
      </c>
      <c r="AB144" s="9">
        <f t="shared" si="333"/>
        <v>102213.04579632067</v>
      </c>
      <c r="AC144" s="9">
        <f t="shared" si="333"/>
        <v>141585.05436102865</v>
      </c>
      <c r="AD144" s="9">
        <f t="shared" si="333"/>
        <v>145486.4518781355</v>
      </c>
      <c r="AE144" s="9">
        <f t="shared" si="333"/>
        <v>132278.38879700095</v>
      </c>
      <c r="AF144" s="9">
        <f t="shared" si="333"/>
        <v>117231.65331457942</v>
      </c>
      <c r="AG144" s="9">
        <f t="shared" si="333"/>
        <v>172031.50113284533</v>
      </c>
      <c r="AH144" s="9">
        <f t="shared" si="333"/>
        <v>118134.03221802096</v>
      </c>
      <c r="AI144" s="9">
        <f t="shared" si="333"/>
        <v>158390.16086986507</v>
      </c>
      <c r="AJ144" s="9">
        <f t="shared" si="333"/>
        <v>106872.25086494908</v>
      </c>
      <c r="AK144" s="9">
        <f t="shared" si="333"/>
        <v>117722.06462807397</v>
      </c>
      <c r="AL144" s="9">
        <f t="shared" ref="AL144:AM144" si="334">SUM(AL34,0.2*AL27*(AL34/SUM(AL34:AL35)),0.05*AL28*(AL34/SUM(AL34:AL35)))</f>
        <v>128241.70617342131</v>
      </c>
      <c r="AM144" s="9">
        <f t="shared" si="334"/>
        <v>125990.30034557424</v>
      </c>
      <c r="AN144" s="9">
        <f t="shared" ref="AN144:AO144" si="335">SUM(AN34,0.2*AN27*(AN34/SUM(AN34:AN35)),0.05*AN28*(AN34/SUM(AN34:AN35)))</f>
        <v>92448.145958083827</v>
      </c>
      <c r="AO144" s="9">
        <f t="shared" si="335"/>
        <v>116378.54663465326</v>
      </c>
      <c r="AP144" s="9">
        <f t="shared" ref="AP144:AQ144" si="336">SUM(AP34,0.2*AP27*(AP34/SUM(AP34:AP35)),0.05*AP28*(AP34/SUM(AP34:AP35)))</f>
        <v>134352.48557542614</v>
      </c>
      <c r="AQ144" s="9">
        <f t="shared" si="336"/>
        <v>124104.32641650738</v>
      </c>
      <c r="AR144" s="9">
        <f t="shared" ref="AR144" si="337">SUM(AR34,0.2*AR27*(AR34/SUM(AR34:AR35)),0.05*AR28*(AR34/SUM(AR34:AR35)))</f>
        <v>76815.962683350968</v>
      </c>
    </row>
    <row r="145" spans="3:44" x14ac:dyDescent="0.3">
      <c r="C145" s="9">
        <v>0</v>
      </c>
      <c r="F145" t="s">
        <v>87</v>
      </c>
      <c r="G145" t="s">
        <v>103</v>
      </c>
      <c r="H145" s="9">
        <f>-SUM(H57,0.2*H49*(H57/SUM(H56:H57)),0.05*H50*(H57/SUM(H56:H57)))</f>
        <v>0</v>
      </c>
      <c r="I145" s="9">
        <f t="shared" ref="I145:AK145" si="338">-SUM(I57,0.2*I49*(I57/SUM(I56:I57)),0.05*I50*(I57/SUM(I56:I57)))</f>
        <v>0</v>
      </c>
      <c r="J145" s="9">
        <f t="shared" si="338"/>
        <v>0</v>
      </c>
      <c r="K145" s="9">
        <f t="shared" si="338"/>
        <v>0</v>
      </c>
      <c r="L145" s="9">
        <f t="shared" si="338"/>
        <v>0</v>
      </c>
      <c r="M145" s="9">
        <f t="shared" si="338"/>
        <v>0</v>
      </c>
      <c r="N145" s="9">
        <f t="shared" si="338"/>
        <v>0</v>
      </c>
      <c r="O145" s="9">
        <f t="shared" si="338"/>
        <v>0</v>
      </c>
      <c r="P145" s="9">
        <f t="shared" si="338"/>
        <v>-18.72983751846381</v>
      </c>
      <c r="Q145" s="9">
        <f t="shared" si="338"/>
        <v>0</v>
      </c>
      <c r="R145" s="9">
        <f t="shared" si="338"/>
        <v>0</v>
      </c>
      <c r="S145" s="9">
        <f t="shared" si="338"/>
        <v>0</v>
      </c>
      <c r="T145" s="9">
        <f t="shared" si="338"/>
        <v>0</v>
      </c>
      <c r="U145" s="9">
        <f t="shared" si="338"/>
        <v>0</v>
      </c>
      <c r="V145" s="9">
        <f t="shared" si="338"/>
        <v>0</v>
      </c>
      <c r="W145" s="9">
        <f t="shared" si="338"/>
        <v>0</v>
      </c>
      <c r="X145" s="9">
        <f t="shared" si="338"/>
        <v>-160.72663043478261</v>
      </c>
      <c r="Y145" s="9">
        <f t="shared" si="338"/>
        <v>-211.7340425531915</v>
      </c>
      <c r="Z145" s="9">
        <f t="shared" si="338"/>
        <v>-314.6193474527762</v>
      </c>
      <c r="AA145" s="9">
        <f t="shared" si="338"/>
        <v>-143.95194961007797</v>
      </c>
      <c r="AB145" s="9">
        <f t="shared" si="338"/>
        <v>-15539.355594509478</v>
      </c>
      <c r="AC145" s="9">
        <f t="shared" si="338"/>
        <v>-29165.91806089471</v>
      </c>
      <c r="AD145" s="9">
        <f t="shared" si="338"/>
        <v>-185.39082568807339</v>
      </c>
      <c r="AE145" s="9">
        <f t="shared" si="338"/>
        <v>-13472.635387491751</v>
      </c>
      <c r="AF145" s="9">
        <f t="shared" si="338"/>
        <v>-4667.1308321964525</v>
      </c>
      <c r="AG145" s="9">
        <f t="shared" si="338"/>
        <v>-7955.4336536895262</v>
      </c>
      <c r="AH145" s="9">
        <f t="shared" si="338"/>
        <v>-28955.769787005291</v>
      </c>
      <c r="AI145" s="9">
        <f t="shared" si="338"/>
        <v>-154.13772448763999</v>
      </c>
      <c r="AJ145" s="9">
        <f t="shared" si="338"/>
        <v>-185.17989949748744</v>
      </c>
      <c r="AK145" s="9">
        <f t="shared" si="338"/>
        <v>-36161.49193823649</v>
      </c>
      <c r="AL145" s="9">
        <f t="shared" ref="AL145:AM145" si="339">-SUM(AL57,0.2*AL49*(AL57/SUM(AL56:AL57)),0.05*AL50*(AL57/SUM(AL56:AL57)))</f>
        <v>-15807.373534966235</v>
      </c>
      <c r="AM145" s="9">
        <f t="shared" si="339"/>
        <v>-50157.151469166252</v>
      </c>
      <c r="AN145" s="9">
        <f t="shared" ref="AN145:AO145" si="340">-SUM(AN57,0.2*AN49*(AN57/SUM(AN56:AN57)),0.05*AN50*(AN57/SUM(AN56:AN57)))</f>
        <v>-68319.139772515919</v>
      </c>
      <c r="AO145" s="9">
        <f t="shared" si="340"/>
        <v>-73214.127454783826</v>
      </c>
      <c r="AP145" s="9">
        <f t="shared" ref="AP145:AQ145" si="341">-SUM(AP57,0.2*AP49*(AP57/SUM(AP56:AP57)),0.05*AP50*(AP57/SUM(AP56:AP57)))</f>
        <v>-22936.411793791383</v>
      </c>
      <c r="AQ145" s="9">
        <f t="shared" si="341"/>
        <v>-3574.6385524678553</v>
      </c>
      <c r="AR145" s="9">
        <f t="shared" ref="AR145" si="342">-SUM(AR57,0.2*AR49*(AR57/SUM(AR56:AR57)),0.05*AR50*(AR57/SUM(AR56:AR57)))</f>
        <v>-85124.945673872135</v>
      </c>
    </row>
    <row r="146" spans="3:44" x14ac:dyDescent="0.3">
      <c r="C146" s="9">
        <v>0</v>
      </c>
      <c r="G146" t="s">
        <v>105</v>
      </c>
      <c r="H146" s="9">
        <f>SUM(H35,0.2*H27*(H35/SUM(H34:H35)),0.05*H28*(H35/SUM(H34:H35)))</f>
        <v>0</v>
      </c>
      <c r="I146" s="9">
        <f t="shared" ref="I146:AK146" si="343">SUM(I35,0.2*I27*(I35/SUM(I34:I35)),0.05*I28*(I35/SUM(I34:I35)))</f>
        <v>0</v>
      </c>
      <c r="J146" s="9">
        <f t="shared" si="343"/>
        <v>0</v>
      </c>
      <c r="K146" s="9">
        <f t="shared" si="343"/>
        <v>0</v>
      </c>
      <c r="L146" s="9">
        <f t="shared" si="343"/>
        <v>0</v>
      </c>
      <c r="M146" s="9">
        <f t="shared" si="343"/>
        <v>0</v>
      </c>
      <c r="N146" s="9">
        <f t="shared" si="343"/>
        <v>0</v>
      </c>
      <c r="O146" s="9">
        <f t="shared" si="343"/>
        <v>2863.335697769985</v>
      </c>
      <c r="P146" s="9">
        <f t="shared" si="343"/>
        <v>1967.7335558534287</v>
      </c>
      <c r="Q146" s="9">
        <f t="shared" si="343"/>
        <v>1637.830799084486</v>
      </c>
      <c r="R146" s="9">
        <f t="shared" si="343"/>
        <v>1800.9176026336174</v>
      </c>
      <c r="S146" s="9">
        <f t="shared" si="343"/>
        <v>4037.2165206705317</v>
      </c>
      <c r="T146" s="9">
        <f t="shared" si="343"/>
        <v>907.0096546422235</v>
      </c>
      <c r="U146" s="9">
        <f t="shared" si="343"/>
        <v>3104.2718560287944</v>
      </c>
      <c r="V146" s="9">
        <f t="shared" si="343"/>
        <v>98816.909938023993</v>
      </c>
      <c r="W146" s="9">
        <f t="shared" si="343"/>
        <v>38391.316469865094</v>
      </c>
      <c r="X146" s="9">
        <f t="shared" si="343"/>
        <v>64375.339341318686</v>
      </c>
      <c r="Y146" s="9">
        <f t="shared" si="343"/>
        <v>53784.05620841105</v>
      </c>
      <c r="Z146" s="9">
        <f t="shared" si="343"/>
        <v>1167.3387890248016</v>
      </c>
      <c r="AA146" s="9">
        <f t="shared" si="343"/>
        <v>29181.892603544577</v>
      </c>
      <c r="AB146" s="9">
        <f t="shared" si="343"/>
        <v>43765.85420367933</v>
      </c>
      <c r="AC146" s="9">
        <f t="shared" si="343"/>
        <v>41103.595638971339</v>
      </c>
      <c r="AD146" s="9">
        <f t="shared" si="343"/>
        <v>20242.498121864493</v>
      </c>
      <c r="AE146" s="9">
        <f t="shared" si="343"/>
        <v>27712.861202999055</v>
      </c>
      <c r="AF146" s="9">
        <f t="shared" si="343"/>
        <v>94750.446685420568</v>
      </c>
      <c r="AG146" s="9">
        <f t="shared" si="343"/>
        <v>43497.84886715468</v>
      </c>
      <c r="AH146" s="9">
        <f t="shared" si="343"/>
        <v>112401.51778197904</v>
      </c>
      <c r="AI146" s="9">
        <f t="shared" si="343"/>
        <v>124528.38913013492</v>
      </c>
      <c r="AJ146" s="9">
        <f t="shared" si="343"/>
        <v>142451.94913505091</v>
      </c>
      <c r="AK146" s="9">
        <f t="shared" si="343"/>
        <v>243274.78537192603</v>
      </c>
      <c r="AL146" s="9">
        <f t="shared" ref="AL146:AM146" si="344">SUM(AL35,0.2*AL27*(AL35/SUM(AL34:AL35)),0.05*AL28*(AL35/SUM(AL34:AL35)))</f>
        <v>322014.49382657872</v>
      </c>
      <c r="AM146" s="9">
        <f t="shared" si="344"/>
        <v>353296.64965442574</v>
      </c>
      <c r="AN146" s="9">
        <f t="shared" ref="AN146:AO146" si="345">SUM(AN35,0.2*AN27*(AN35/SUM(AN34:AN35)),0.05*AN28*(AN35/SUM(AN34:AN35)))</f>
        <v>494160.60404191614</v>
      </c>
      <c r="AO146" s="9">
        <f t="shared" si="345"/>
        <v>391804.60336534673</v>
      </c>
      <c r="AP146" s="9">
        <f t="shared" ref="AP146:AQ146" si="346">SUM(AP35,0.2*AP27*(AP35/SUM(AP34:AP35)),0.05*AP28*(AP35/SUM(AP34:AP35)))</f>
        <v>297376.66442457383</v>
      </c>
      <c r="AQ146" s="9">
        <f t="shared" si="346"/>
        <v>214947.62358349262</v>
      </c>
      <c r="AR146" s="9">
        <f t="shared" ref="AR146" si="347">SUM(AR35,0.2*AR27*(AR35/SUM(AR34:AR35)),0.05*AR28*(AR35/SUM(AR34:AR35)))</f>
        <v>202678.33731664903</v>
      </c>
    </row>
    <row r="147" spans="3:44" x14ac:dyDescent="0.3">
      <c r="C147" s="9">
        <v>0</v>
      </c>
      <c r="F147" t="s">
        <v>114</v>
      </c>
      <c r="G147" t="s">
        <v>103</v>
      </c>
      <c r="H147" s="9">
        <f>-H59</f>
        <v>0</v>
      </c>
      <c r="I147" s="9">
        <f t="shared" ref="I147:AK147" si="348">-I59</f>
        <v>0</v>
      </c>
      <c r="J147" s="9">
        <f t="shared" si="348"/>
        <v>0</v>
      </c>
      <c r="K147" s="9">
        <f t="shared" si="348"/>
        <v>0</v>
      </c>
      <c r="L147" s="9">
        <f t="shared" si="348"/>
        <v>0</v>
      </c>
      <c r="M147" s="9">
        <f t="shared" si="348"/>
        <v>0</v>
      </c>
      <c r="N147" s="9">
        <f t="shared" si="348"/>
        <v>0</v>
      </c>
      <c r="O147" s="9">
        <f t="shared" si="348"/>
        <v>0</v>
      </c>
      <c r="P147" s="9">
        <f t="shared" si="348"/>
        <v>0</v>
      </c>
      <c r="Q147" s="9">
        <f t="shared" si="348"/>
        <v>0</v>
      </c>
      <c r="R147" s="9">
        <f t="shared" si="348"/>
        <v>0</v>
      </c>
      <c r="S147" s="9">
        <f t="shared" si="348"/>
        <v>0</v>
      </c>
      <c r="T147" s="9">
        <f t="shared" si="348"/>
        <v>0</v>
      </c>
      <c r="U147" s="9">
        <f t="shared" si="348"/>
        <v>0</v>
      </c>
      <c r="V147" s="9">
        <f t="shared" si="348"/>
        <v>0</v>
      </c>
      <c r="W147" s="9">
        <f t="shared" si="348"/>
        <v>0</v>
      </c>
      <c r="X147" s="9">
        <f t="shared" si="348"/>
        <v>0</v>
      </c>
      <c r="Y147" s="9">
        <f t="shared" si="348"/>
        <v>0</v>
      </c>
      <c r="Z147" s="9">
        <f t="shared" si="348"/>
        <v>0</v>
      </c>
      <c r="AA147" s="9">
        <f t="shared" si="348"/>
        <v>0</v>
      </c>
      <c r="AB147" s="9">
        <f t="shared" si="348"/>
        <v>0</v>
      </c>
      <c r="AC147" s="9">
        <f t="shared" si="348"/>
        <v>0</v>
      </c>
      <c r="AD147" s="9">
        <f t="shared" si="348"/>
        <v>0</v>
      </c>
      <c r="AE147" s="9">
        <f t="shared" si="348"/>
        <v>0</v>
      </c>
      <c r="AF147" s="9">
        <f t="shared" si="348"/>
        <v>0</v>
      </c>
      <c r="AG147" s="9">
        <f t="shared" si="348"/>
        <v>0</v>
      </c>
      <c r="AH147" s="9">
        <f t="shared" si="348"/>
        <v>0</v>
      </c>
      <c r="AI147" s="9">
        <f t="shared" si="348"/>
        <v>0</v>
      </c>
      <c r="AJ147" s="9">
        <f t="shared" si="348"/>
        <v>0</v>
      </c>
      <c r="AK147" s="9">
        <f t="shared" si="348"/>
        <v>0</v>
      </c>
      <c r="AL147" s="9">
        <f t="shared" ref="AL147:AM147" si="349">-AL59</f>
        <v>0</v>
      </c>
      <c r="AM147" s="9">
        <f t="shared" si="349"/>
        <v>0</v>
      </c>
      <c r="AN147" s="9">
        <f t="shared" ref="AN147:AO147" si="350">-AN59</f>
        <v>0</v>
      </c>
      <c r="AO147" s="9">
        <f t="shared" si="350"/>
        <v>0</v>
      </c>
      <c r="AP147" s="9">
        <f t="shared" ref="AP147:AQ147" si="351">-AP59</f>
        <v>0</v>
      </c>
      <c r="AQ147" s="9">
        <f t="shared" si="351"/>
        <v>0</v>
      </c>
      <c r="AR147" s="9">
        <f t="shared" ref="AR147" si="352">-AR59</f>
        <v>0</v>
      </c>
    </row>
    <row r="148" spans="3:44" x14ac:dyDescent="0.3">
      <c r="C148" s="9">
        <v>9074</v>
      </c>
      <c r="G148" t="s">
        <v>105</v>
      </c>
      <c r="H148" s="9">
        <f>SUM(H37:H38)</f>
        <v>8894</v>
      </c>
      <c r="I148" s="9">
        <f t="shared" ref="I148:AK148" si="353">SUM(I37:I38)</f>
        <v>9074</v>
      </c>
      <c r="J148" s="9">
        <f t="shared" si="353"/>
        <v>9257</v>
      </c>
      <c r="K148" s="9">
        <f t="shared" si="353"/>
        <v>9214</v>
      </c>
      <c r="L148" s="9">
        <f t="shared" si="353"/>
        <v>10950</v>
      </c>
      <c r="M148" s="9">
        <f t="shared" si="353"/>
        <v>11123</v>
      </c>
      <c r="N148" s="9">
        <f t="shared" si="353"/>
        <v>11396</v>
      </c>
      <c r="O148" s="9">
        <f t="shared" si="353"/>
        <v>11247</v>
      </c>
      <c r="P148" s="9">
        <f t="shared" si="353"/>
        <v>14761</v>
      </c>
      <c r="Q148" s="9">
        <f t="shared" si="353"/>
        <v>14983</v>
      </c>
      <c r="R148" s="9">
        <f t="shared" si="353"/>
        <v>15191</v>
      </c>
      <c r="S148" s="9">
        <f t="shared" si="353"/>
        <v>15437</v>
      </c>
      <c r="T148" s="9">
        <f t="shared" si="353"/>
        <v>19504</v>
      </c>
      <c r="U148" s="9">
        <f t="shared" si="353"/>
        <v>19817</v>
      </c>
      <c r="V148" s="9">
        <f t="shared" si="353"/>
        <v>20283</v>
      </c>
      <c r="W148" s="9">
        <f t="shared" si="353"/>
        <v>20258</v>
      </c>
      <c r="X148" s="9">
        <f t="shared" si="353"/>
        <v>26401</v>
      </c>
      <c r="Y148" s="9">
        <f t="shared" si="353"/>
        <v>25904</v>
      </c>
      <c r="Z148" s="9">
        <f t="shared" si="353"/>
        <v>26824</v>
      </c>
      <c r="AA148" s="9">
        <f t="shared" si="353"/>
        <v>26690</v>
      </c>
      <c r="AB148" s="9">
        <f t="shared" si="353"/>
        <v>34754.5</v>
      </c>
      <c r="AC148" s="9">
        <f t="shared" si="353"/>
        <v>35682.5</v>
      </c>
      <c r="AD148" s="9">
        <f t="shared" si="353"/>
        <v>44713</v>
      </c>
      <c r="AE148" s="9">
        <f t="shared" si="353"/>
        <v>44850</v>
      </c>
      <c r="AF148" s="9">
        <f t="shared" si="353"/>
        <v>51825</v>
      </c>
      <c r="AG148" s="9">
        <f t="shared" si="353"/>
        <v>54233</v>
      </c>
      <c r="AH148" s="9">
        <f t="shared" si="353"/>
        <v>57469</v>
      </c>
      <c r="AI148" s="9">
        <f t="shared" si="353"/>
        <v>57494</v>
      </c>
      <c r="AJ148" s="9">
        <f t="shared" si="353"/>
        <v>75569</v>
      </c>
      <c r="AK148" s="9">
        <f t="shared" si="353"/>
        <v>78434</v>
      </c>
      <c r="AL148" s="9">
        <f t="shared" ref="AL148:AM148" si="354">SUM(AL37:AL38)</f>
        <v>91829</v>
      </c>
      <c r="AM148" s="9">
        <f t="shared" si="354"/>
        <v>92662</v>
      </c>
      <c r="AN148" s="9">
        <f t="shared" ref="AN148:AO148" si="355">SUM(AN37:AN38)</f>
        <v>88331</v>
      </c>
      <c r="AO148" s="9">
        <f t="shared" si="355"/>
        <v>92142</v>
      </c>
      <c r="AP148" s="9">
        <f t="shared" ref="AP148:AQ148" si="356">SUM(AP37:AP38)</f>
        <v>107810</v>
      </c>
      <c r="AQ148" s="9">
        <f t="shared" si="356"/>
        <v>108337</v>
      </c>
      <c r="AR148" s="9">
        <f t="shared" ref="AR148" si="357">SUM(AR37:AR38)</f>
        <v>23648</v>
      </c>
    </row>
    <row r="149" spans="3:44" x14ac:dyDescent="0.3">
      <c r="C149" s="9">
        <v>0</v>
      </c>
      <c r="F149" t="s">
        <v>115</v>
      </c>
      <c r="G149" t="s">
        <v>103</v>
      </c>
      <c r="H149" s="9">
        <f>-H58</f>
        <v>0</v>
      </c>
      <c r="I149" s="9">
        <f t="shared" ref="I149:AK149" si="358">-I58</f>
        <v>0</v>
      </c>
      <c r="J149" s="9">
        <f t="shared" si="358"/>
        <v>0</v>
      </c>
      <c r="K149" s="9">
        <f t="shared" si="358"/>
        <v>0</v>
      </c>
      <c r="L149" s="9">
        <f t="shared" si="358"/>
        <v>0</v>
      </c>
      <c r="M149" s="9">
        <f t="shared" si="358"/>
        <v>0</v>
      </c>
      <c r="N149" s="9">
        <f t="shared" si="358"/>
        <v>0</v>
      </c>
      <c r="O149" s="9">
        <f t="shared" si="358"/>
        <v>0</v>
      </c>
      <c r="P149" s="9">
        <f t="shared" si="358"/>
        <v>0</v>
      </c>
      <c r="Q149" s="9">
        <f t="shared" si="358"/>
        <v>0</v>
      </c>
      <c r="R149" s="9">
        <f t="shared" si="358"/>
        <v>0</v>
      </c>
      <c r="S149" s="9">
        <f t="shared" si="358"/>
        <v>0</v>
      </c>
      <c r="T149" s="9">
        <f t="shared" si="358"/>
        <v>0</v>
      </c>
      <c r="U149" s="9">
        <f t="shared" si="358"/>
        <v>0</v>
      </c>
      <c r="V149" s="9">
        <f t="shared" si="358"/>
        <v>0</v>
      </c>
      <c r="W149" s="9">
        <f t="shared" si="358"/>
        <v>0</v>
      </c>
      <c r="X149" s="9">
        <f t="shared" si="358"/>
        <v>0</v>
      </c>
      <c r="Y149" s="9">
        <f t="shared" si="358"/>
        <v>0</v>
      </c>
      <c r="Z149" s="9">
        <f t="shared" si="358"/>
        <v>0</v>
      </c>
      <c r="AA149" s="9">
        <f t="shared" si="358"/>
        <v>0</v>
      </c>
      <c r="AB149" s="9">
        <f t="shared" si="358"/>
        <v>0</v>
      </c>
      <c r="AC149" s="9">
        <f t="shared" si="358"/>
        <v>0</v>
      </c>
      <c r="AD149" s="9">
        <f t="shared" si="358"/>
        <v>0</v>
      </c>
      <c r="AE149" s="9">
        <f t="shared" si="358"/>
        <v>0</v>
      </c>
      <c r="AF149" s="9">
        <f t="shared" si="358"/>
        <v>0</v>
      </c>
      <c r="AG149" s="9">
        <f t="shared" si="358"/>
        <v>0</v>
      </c>
      <c r="AH149" s="9">
        <f t="shared" si="358"/>
        <v>0</v>
      </c>
      <c r="AI149" s="9">
        <f t="shared" si="358"/>
        <v>0</v>
      </c>
      <c r="AJ149" s="9">
        <f t="shared" si="358"/>
        <v>0</v>
      </c>
      <c r="AK149" s="9">
        <f t="shared" si="358"/>
        <v>0</v>
      </c>
      <c r="AL149" s="9">
        <f t="shared" ref="AL149:AM149" si="359">-AL58</f>
        <v>0</v>
      </c>
      <c r="AM149" s="9">
        <f t="shared" si="359"/>
        <v>0</v>
      </c>
      <c r="AN149" s="9">
        <f t="shared" ref="AN149:AO149" si="360">-AN58</f>
        <v>0</v>
      </c>
      <c r="AO149" s="9">
        <f t="shared" si="360"/>
        <v>0</v>
      </c>
      <c r="AP149" s="9">
        <f t="shared" ref="AP149:AQ149" si="361">-AP58</f>
        <v>0</v>
      </c>
      <c r="AQ149" s="9">
        <f t="shared" si="361"/>
        <v>0</v>
      </c>
      <c r="AR149" s="9">
        <f t="shared" ref="AR149" si="362">-AR58</f>
        <v>0</v>
      </c>
    </row>
    <row r="150" spans="3:44" x14ac:dyDescent="0.3">
      <c r="C150" s="9">
        <v>0</v>
      </c>
      <c r="G150" t="s">
        <v>105</v>
      </c>
      <c r="H150" s="9">
        <f>H36</f>
        <v>0</v>
      </c>
      <c r="I150" s="9">
        <f t="shared" ref="I150:AK150" si="363">I36</f>
        <v>0</v>
      </c>
      <c r="J150" s="9">
        <f t="shared" si="363"/>
        <v>0</v>
      </c>
      <c r="K150" s="9">
        <f t="shared" si="363"/>
        <v>0</v>
      </c>
      <c r="L150" s="9">
        <f t="shared" si="363"/>
        <v>0</v>
      </c>
      <c r="M150" s="9">
        <f t="shared" si="363"/>
        <v>0</v>
      </c>
      <c r="N150" s="9">
        <f t="shared" si="363"/>
        <v>0</v>
      </c>
      <c r="O150" s="9">
        <f t="shared" si="363"/>
        <v>0</v>
      </c>
      <c r="P150" s="9">
        <f t="shared" si="363"/>
        <v>4288</v>
      </c>
      <c r="Q150" s="9">
        <f t="shared" si="363"/>
        <v>4206</v>
      </c>
      <c r="R150" s="9">
        <f t="shared" si="363"/>
        <v>4382</v>
      </c>
      <c r="S150" s="9">
        <f t="shared" si="363"/>
        <v>4313</v>
      </c>
      <c r="T150" s="9">
        <f t="shared" si="363"/>
        <v>4662</v>
      </c>
      <c r="U150" s="9">
        <f t="shared" si="363"/>
        <v>4756</v>
      </c>
      <c r="V150" s="9">
        <f t="shared" si="363"/>
        <v>5787</v>
      </c>
      <c r="W150" s="9">
        <f t="shared" si="363"/>
        <v>6098</v>
      </c>
      <c r="X150" s="9">
        <f t="shared" si="363"/>
        <v>6391</v>
      </c>
      <c r="Y150" s="9">
        <f t="shared" si="363"/>
        <v>6459</v>
      </c>
      <c r="Z150" s="9">
        <f t="shared" si="363"/>
        <v>7835</v>
      </c>
      <c r="AA150" s="9">
        <f t="shared" si="363"/>
        <v>8579</v>
      </c>
      <c r="AB150" s="9">
        <f t="shared" si="363"/>
        <v>18392</v>
      </c>
      <c r="AC150" s="9">
        <f t="shared" si="363"/>
        <v>28285</v>
      </c>
      <c r="AD150" s="9">
        <f t="shared" si="363"/>
        <v>32449</v>
      </c>
      <c r="AE150" s="9">
        <f t="shared" si="363"/>
        <v>36097</v>
      </c>
      <c r="AF150" s="9">
        <f t="shared" si="363"/>
        <v>38001</v>
      </c>
      <c r="AG150" s="9">
        <f t="shared" si="363"/>
        <v>39897</v>
      </c>
      <c r="AH150" s="9">
        <f t="shared" si="363"/>
        <v>42917</v>
      </c>
      <c r="AI150" s="9">
        <f t="shared" si="363"/>
        <v>46713</v>
      </c>
      <c r="AJ150" s="9">
        <f t="shared" si="363"/>
        <v>20921</v>
      </c>
      <c r="AK150" s="9">
        <f t="shared" si="363"/>
        <v>36060</v>
      </c>
      <c r="AL150" s="9">
        <f t="shared" ref="AL150:AM150" si="364">AL36</f>
        <v>30110</v>
      </c>
      <c r="AM150" s="9">
        <f t="shared" si="364"/>
        <v>30431</v>
      </c>
      <c r="AN150" s="9">
        <f t="shared" ref="AN150:AO150" si="365">AN36</f>
        <v>14867</v>
      </c>
      <c r="AO150" s="9">
        <f t="shared" si="365"/>
        <v>16382</v>
      </c>
      <c r="AP150" s="9">
        <f t="shared" ref="AP150:AQ150" si="366">AP36</f>
        <v>19460</v>
      </c>
      <c r="AQ150" s="9">
        <f t="shared" si="366"/>
        <v>21251</v>
      </c>
      <c r="AR150" s="9">
        <f t="shared" ref="AR150" si="367">AR36</f>
        <v>19779</v>
      </c>
    </row>
    <row r="151" spans="3:44" x14ac:dyDescent="0.3">
      <c r="C151" s="9">
        <v>0</v>
      </c>
      <c r="F151" t="s">
        <v>116</v>
      </c>
      <c r="G151" t="s">
        <v>103</v>
      </c>
      <c r="H151" s="9">
        <f>-SUM(H64:H65)</f>
        <v>0</v>
      </c>
      <c r="I151" s="9">
        <f t="shared" ref="I151:AK151" si="368">-SUM(I64:I65)</f>
        <v>0</v>
      </c>
      <c r="J151" s="9">
        <f t="shared" si="368"/>
        <v>0</v>
      </c>
      <c r="K151" s="9">
        <f t="shared" si="368"/>
        <v>0</v>
      </c>
      <c r="L151" s="9">
        <f t="shared" si="368"/>
        <v>0</v>
      </c>
      <c r="M151" s="9">
        <f t="shared" si="368"/>
        <v>0</v>
      </c>
      <c r="N151" s="9">
        <f t="shared" si="368"/>
        <v>0</v>
      </c>
      <c r="O151" s="9">
        <f t="shared" si="368"/>
        <v>0</v>
      </c>
      <c r="P151" s="9">
        <f t="shared" si="368"/>
        <v>0</v>
      </c>
      <c r="Q151" s="9">
        <f t="shared" si="368"/>
        <v>0</v>
      </c>
      <c r="R151" s="9">
        <f t="shared" si="368"/>
        <v>0</v>
      </c>
      <c r="S151" s="9">
        <f t="shared" si="368"/>
        <v>0</v>
      </c>
      <c r="T151" s="9">
        <f t="shared" si="368"/>
        <v>0</v>
      </c>
      <c r="U151" s="9">
        <f t="shared" si="368"/>
        <v>0</v>
      </c>
      <c r="V151" s="9">
        <f t="shared" si="368"/>
        <v>0</v>
      </c>
      <c r="W151" s="9">
        <f t="shared" si="368"/>
        <v>0</v>
      </c>
      <c r="X151" s="9">
        <f t="shared" si="368"/>
        <v>0</v>
      </c>
      <c r="Y151" s="9">
        <f t="shared" si="368"/>
        <v>0</v>
      </c>
      <c r="Z151" s="9">
        <f t="shared" si="368"/>
        <v>0</v>
      </c>
      <c r="AA151" s="9">
        <f t="shared" si="368"/>
        <v>0</v>
      </c>
      <c r="AB151" s="9">
        <f t="shared" si="368"/>
        <v>0</v>
      </c>
      <c r="AC151" s="9">
        <f t="shared" si="368"/>
        <v>0</v>
      </c>
      <c r="AD151" s="9">
        <f t="shared" si="368"/>
        <v>0</v>
      </c>
      <c r="AE151" s="9">
        <f t="shared" si="368"/>
        <v>0</v>
      </c>
      <c r="AF151" s="9">
        <f t="shared" si="368"/>
        <v>0</v>
      </c>
      <c r="AG151" s="9">
        <f t="shared" si="368"/>
        <v>0</v>
      </c>
      <c r="AH151" s="9">
        <f t="shared" si="368"/>
        <v>0</v>
      </c>
      <c r="AI151" s="9">
        <f t="shared" si="368"/>
        <v>0</v>
      </c>
      <c r="AJ151" s="9">
        <f t="shared" si="368"/>
        <v>-3</v>
      </c>
      <c r="AK151" s="9">
        <f t="shared" si="368"/>
        <v>-3</v>
      </c>
      <c r="AL151" s="9">
        <f t="shared" ref="AL151:AM151" si="369">-SUM(AL64:AL65)</f>
        <v>-3</v>
      </c>
      <c r="AM151" s="9">
        <f t="shared" si="369"/>
        <v>-3</v>
      </c>
      <c r="AN151" s="9">
        <f t="shared" ref="AN151:AO151" si="370">-SUM(AN64:AN65)</f>
        <v>0</v>
      </c>
      <c r="AO151" s="9">
        <f t="shared" si="370"/>
        <v>-4</v>
      </c>
      <c r="AP151" s="9">
        <f t="shared" ref="AP151:AQ151" si="371">-SUM(AP64:AP65)</f>
        <v>0</v>
      </c>
      <c r="AQ151" s="9">
        <f t="shared" si="371"/>
        <v>0</v>
      </c>
      <c r="AR151" s="9">
        <f t="shared" ref="AR151" si="372">-SUM(AR64:AR65)</f>
        <v>0</v>
      </c>
    </row>
    <row r="152" spans="3:44" x14ac:dyDescent="0.3">
      <c r="C152" s="9">
        <v>112</v>
      </c>
      <c r="G152" t="s">
        <v>105</v>
      </c>
      <c r="H152" s="9">
        <f>SUM(H43:H44)</f>
        <v>61</v>
      </c>
      <c r="I152" s="9">
        <f t="shared" ref="I152:AK152" si="373">SUM(I43:I44)</f>
        <v>112</v>
      </c>
      <c r="J152" s="9">
        <f t="shared" si="373"/>
        <v>346</v>
      </c>
      <c r="K152" s="9">
        <f t="shared" si="373"/>
        <v>292</v>
      </c>
      <c r="L152" s="9">
        <f t="shared" si="373"/>
        <v>308</v>
      </c>
      <c r="M152" s="9">
        <f t="shared" si="373"/>
        <v>297</v>
      </c>
      <c r="N152" s="9">
        <f t="shared" si="373"/>
        <v>327</v>
      </c>
      <c r="O152" s="9">
        <f t="shared" si="373"/>
        <v>272</v>
      </c>
      <c r="P152" s="9">
        <f t="shared" si="373"/>
        <v>472</v>
      </c>
      <c r="Q152" s="9">
        <f t="shared" si="373"/>
        <v>514</v>
      </c>
      <c r="R152" s="9">
        <f t="shared" si="373"/>
        <v>486</v>
      </c>
      <c r="S152" s="9">
        <f t="shared" si="373"/>
        <v>430</v>
      </c>
      <c r="T152" s="9">
        <f t="shared" si="373"/>
        <v>393</v>
      </c>
      <c r="U152" s="9">
        <f t="shared" si="373"/>
        <v>399</v>
      </c>
      <c r="V152" s="9">
        <f t="shared" si="373"/>
        <v>435</v>
      </c>
      <c r="W152" s="9">
        <f t="shared" si="373"/>
        <v>325</v>
      </c>
      <c r="X152" s="9">
        <f t="shared" si="373"/>
        <v>263</v>
      </c>
      <c r="Y152" s="9">
        <f t="shared" si="373"/>
        <v>136</v>
      </c>
      <c r="Z152" s="9">
        <f t="shared" si="373"/>
        <v>99</v>
      </c>
      <c r="AA152" s="9">
        <f t="shared" si="373"/>
        <v>113</v>
      </c>
      <c r="AB152" s="9">
        <f t="shared" si="373"/>
        <v>302</v>
      </c>
      <c r="AC152" s="9">
        <f t="shared" si="373"/>
        <v>284</v>
      </c>
      <c r="AD152" s="9">
        <f t="shared" si="373"/>
        <v>89</v>
      </c>
      <c r="AE152" s="9">
        <f t="shared" si="373"/>
        <v>16</v>
      </c>
      <c r="AF152" s="9">
        <f t="shared" si="373"/>
        <v>2</v>
      </c>
      <c r="AG152" s="9">
        <f t="shared" si="373"/>
        <v>162</v>
      </c>
      <c r="AH152" s="9">
        <f t="shared" si="373"/>
        <v>156</v>
      </c>
      <c r="AI152" s="9">
        <f t="shared" si="373"/>
        <v>178</v>
      </c>
      <c r="AJ152" s="9">
        <f t="shared" si="373"/>
        <v>5</v>
      </c>
      <c r="AK152" s="9">
        <f t="shared" si="373"/>
        <v>6</v>
      </c>
      <c r="AL152" s="9">
        <f t="shared" ref="AL152:AM152" si="374">SUM(AL43:AL44)</f>
        <v>8</v>
      </c>
      <c r="AM152" s="9">
        <f t="shared" si="374"/>
        <v>4</v>
      </c>
      <c r="AN152" s="9">
        <f t="shared" ref="AN152:AO152" si="375">SUM(AN43:AN44)</f>
        <v>4</v>
      </c>
      <c r="AO152" s="9">
        <f t="shared" si="375"/>
        <v>3</v>
      </c>
      <c r="AP152" s="9">
        <f t="shared" ref="AP152:AQ152" si="376">SUM(AP43:AP44)</f>
        <v>4</v>
      </c>
      <c r="AQ152" s="9">
        <f t="shared" si="376"/>
        <v>4</v>
      </c>
      <c r="AR152" s="9">
        <f t="shared" ref="AR152" si="377">SUM(AR43:AR44)</f>
        <v>4</v>
      </c>
    </row>
    <row r="153" spans="3:44" x14ac:dyDescent="0.3">
      <c r="C153" s="9">
        <v>0</v>
      </c>
      <c r="F153" t="s">
        <v>117</v>
      </c>
      <c r="G153" t="s">
        <v>103</v>
      </c>
      <c r="H153" s="9">
        <f>SUM(H54:H55)</f>
        <v>0</v>
      </c>
      <c r="I153" s="9">
        <f t="shared" ref="I153:AK153" si="378">SUM(I54:I55)</f>
        <v>0</v>
      </c>
      <c r="J153" s="9">
        <f t="shared" si="378"/>
        <v>0</v>
      </c>
      <c r="K153" s="9">
        <f t="shared" si="378"/>
        <v>0</v>
      </c>
      <c r="L153" s="9">
        <f t="shared" si="378"/>
        <v>0</v>
      </c>
      <c r="M153" s="9">
        <f t="shared" si="378"/>
        <v>0</v>
      </c>
      <c r="N153" s="9">
        <f t="shared" si="378"/>
        <v>0</v>
      </c>
      <c r="O153" s="9">
        <f t="shared" si="378"/>
        <v>0</v>
      </c>
      <c r="P153" s="9">
        <f t="shared" si="378"/>
        <v>0</v>
      </c>
      <c r="Q153" s="9">
        <f t="shared" si="378"/>
        <v>0</v>
      </c>
      <c r="R153" s="9">
        <f t="shared" si="378"/>
        <v>0</v>
      </c>
      <c r="S153" s="9">
        <f t="shared" si="378"/>
        <v>0</v>
      </c>
      <c r="T153" s="9">
        <f t="shared" si="378"/>
        <v>0</v>
      </c>
      <c r="U153" s="9">
        <f t="shared" si="378"/>
        <v>0</v>
      </c>
      <c r="V153" s="9">
        <f t="shared" si="378"/>
        <v>0</v>
      </c>
      <c r="W153" s="9">
        <f t="shared" si="378"/>
        <v>0</v>
      </c>
      <c r="X153" s="9">
        <f t="shared" si="378"/>
        <v>0</v>
      </c>
      <c r="Y153" s="9">
        <f t="shared" si="378"/>
        <v>0</v>
      </c>
      <c r="Z153" s="9">
        <f t="shared" si="378"/>
        <v>0</v>
      </c>
      <c r="AA153" s="9">
        <f t="shared" si="378"/>
        <v>0</v>
      </c>
      <c r="AB153" s="9">
        <f t="shared" si="378"/>
        <v>0</v>
      </c>
      <c r="AC153" s="9">
        <f t="shared" si="378"/>
        <v>0</v>
      </c>
      <c r="AD153" s="9">
        <f t="shared" si="378"/>
        <v>0</v>
      </c>
      <c r="AE153" s="9">
        <f t="shared" si="378"/>
        <v>0</v>
      </c>
      <c r="AF153" s="9">
        <f t="shared" si="378"/>
        <v>0</v>
      </c>
      <c r="AG153" s="9">
        <f t="shared" si="378"/>
        <v>0</v>
      </c>
      <c r="AH153" s="9">
        <f t="shared" si="378"/>
        <v>0</v>
      </c>
      <c r="AI153" s="9">
        <f t="shared" si="378"/>
        <v>0</v>
      </c>
      <c r="AJ153" s="9">
        <f t="shared" si="378"/>
        <v>0</v>
      </c>
      <c r="AK153" s="9">
        <f t="shared" si="378"/>
        <v>0</v>
      </c>
      <c r="AL153" s="9">
        <f t="shared" ref="AL153:AM153" si="379">SUM(AL54:AL55)</f>
        <v>0</v>
      </c>
      <c r="AM153" s="9">
        <f t="shared" si="379"/>
        <v>0</v>
      </c>
      <c r="AN153" s="9">
        <f t="shared" ref="AN153:AO153" si="380">SUM(AN54:AN55)</f>
        <v>0</v>
      </c>
      <c r="AO153" s="9">
        <f t="shared" si="380"/>
        <v>0</v>
      </c>
      <c r="AP153" s="9">
        <f t="shared" ref="AP153:AQ153" si="381">SUM(AP54:AP55)</f>
        <v>0</v>
      </c>
      <c r="AQ153" s="9">
        <f t="shared" si="381"/>
        <v>0</v>
      </c>
      <c r="AR153" s="9">
        <f t="shared" ref="AR153" si="382">SUM(AR54:AR55)</f>
        <v>0</v>
      </c>
    </row>
    <row r="154" spans="3:44" x14ac:dyDescent="0.3">
      <c r="C154" s="9">
        <v>315</v>
      </c>
      <c r="G154" t="s">
        <v>105</v>
      </c>
      <c r="H154" s="9">
        <f>SUM(H32:H33)</f>
        <v>474</v>
      </c>
      <c r="I154" s="9">
        <f t="shared" ref="I154:AK154" si="383">SUM(I32:I33)</f>
        <v>315</v>
      </c>
      <c r="J154" s="9">
        <f t="shared" si="383"/>
        <v>2034</v>
      </c>
      <c r="K154" s="9">
        <f t="shared" si="383"/>
        <v>2843</v>
      </c>
      <c r="L154" s="9">
        <f t="shared" si="383"/>
        <v>2056</v>
      </c>
      <c r="M154" s="9">
        <f t="shared" si="383"/>
        <v>2719</v>
      </c>
      <c r="N154" s="9">
        <f t="shared" si="383"/>
        <v>2634</v>
      </c>
      <c r="O154" s="9">
        <f t="shared" si="383"/>
        <v>2607</v>
      </c>
      <c r="P154" s="9">
        <f t="shared" si="383"/>
        <v>1203</v>
      </c>
      <c r="Q154" s="9">
        <f t="shared" si="383"/>
        <v>1770</v>
      </c>
      <c r="R154" s="9">
        <f t="shared" si="383"/>
        <v>1921</v>
      </c>
      <c r="S154" s="9">
        <f t="shared" si="383"/>
        <v>2115</v>
      </c>
      <c r="T154" s="9">
        <f t="shared" si="383"/>
        <v>1905</v>
      </c>
      <c r="U154" s="9">
        <f t="shared" si="383"/>
        <v>2097</v>
      </c>
      <c r="V154" s="9">
        <f t="shared" si="383"/>
        <v>2089</v>
      </c>
      <c r="W154" s="9">
        <f t="shared" si="383"/>
        <v>2651</v>
      </c>
      <c r="X154" s="9">
        <f t="shared" si="383"/>
        <v>2475</v>
      </c>
      <c r="Y154" s="9">
        <f t="shared" si="383"/>
        <v>2651</v>
      </c>
      <c r="Z154" s="9">
        <f t="shared" si="383"/>
        <v>3457</v>
      </c>
      <c r="AA154" s="9">
        <f t="shared" si="383"/>
        <v>3624</v>
      </c>
      <c r="AB154" s="9">
        <f t="shared" si="383"/>
        <v>3471</v>
      </c>
      <c r="AC154" s="9">
        <f t="shared" si="383"/>
        <v>4521</v>
      </c>
      <c r="AD154" s="9">
        <f t="shared" si="383"/>
        <v>9662</v>
      </c>
      <c r="AE154" s="9">
        <f t="shared" si="383"/>
        <v>11595</v>
      </c>
      <c r="AF154" s="9">
        <f t="shared" si="383"/>
        <v>11716</v>
      </c>
      <c r="AG154" s="9">
        <f t="shared" si="383"/>
        <v>8342</v>
      </c>
      <c r="AH154" s="9">
        <f t="shared" si="383"/>
        <v>4093</v>
      </c>
      <c r="AI154" s="9">
        <f t="shared" si="383"/>
        <v>9021</v>
      </c>
      <c r="AJ154" s="9">
        <f t="shared" si="383"/>
        <v>21991</v>
      </c>
      <c r="AK154" s="9">
        <f t="shared" si="383"/>
        <v>36271</v>
      </c>
      <c r="AL154" s="9">
        <f t="shared" ref="AL154:AM154" si="384">SUM(AL32:AL33)</f>
        <v>41778</v>
      </c>
      <c r="AM154" s="9">
        <f t="shared" si="384"/>
        <v>41393</v>
      </c>
      <c r="AN154" s="9">
        <f t="shared" ref="AN154:AO154" si="385">SUM(AN32:AN33)</f>
        <v>11703</v>
      </c>
      <c r="AO154" s="9">
        <f t="shared" si="385"/>
        <v>9654</v>
      </c>
      <c r="AP154" s="9">
        <f t="shared" ref="AP154:AQ154" si="386">SUM(AP32:AP33)</f>
        <v>7869</v>
      </c>
      <c r="AQ154" s="9">
        <f t="shared" si="386"/>
        <v>9553</v>
      </c>
      <c r="AR154" s="9">
        <f t="shared" ref="AR154" si="387">SUM(AR32:AR33)</f>
        <v>9132</v>
      </c>
    </row>
    <row r="155" spans="3:44" x14ac:dyDescent="0.3">
      <c r="C155" s="9">
        <v>0</v>
      </c>
      <c r="F155" t="s">
        <v>118</v>
      </c>
      <c r="G155" t="s">
        <v>103</v>
      </c>
      <c r="H155" s="9">
        <f>-SUM(H66:H67)</f>
        <v>0</v>
      </c>
      <c r="I155" s="9">
        <f t="shared" ref="I155:AK155" si="388">-SUM(I66:I67)</f>
        <v>0</v>
      </c>
      <c r="J155" s="9">
        <f t="shared" si="388"/>
        <v>0</v>
      </c>
      <c r="K155" s="9">
        <f t="shared" si="388"/>
        <v>0</v>
      </c>
      <c r="L155" s="9">
        <f t="shared" si="388"/>
        <v>0</v>
      </c>
      <c r="M155" s="9">
        <f t="shared" si="388"/>
        <v>0</v>
      </c>
      <c r="N155" s="9">
        <f t="shared" si="388"/>
        <v>0</v>
      </c>
      <c r="O155" s="9">
        <f t="shared" si="388"/>
        <v>0</v>
      </c>
      <c r="P155" s="9">
        <f t="shared" si="388"/>
        <v>0</v>
      </c>
      <c r="Q155" s="9">
        <f t="shared" si="388"/>
        <v>0</v>
      </c>
      <c r="R155" s="9">
        <f t="shared" si="388"/>
        <v>0</v>
      </c>
      <c r="S155" s="9">
        <f t="shared" si="388"/>
        <v>0</v>
      </c>
      <c r="T155" s="9">
        <f t="shared" si="388"/>
        <v>0</v>
      </c>
      <c r="U155" s="9">
        <f t="shared" si="388"/>
        <v>0</v>
      </c>
      <c r="V155" s="9">
        <f t="shared" si="388"/>
        <v>0</v>
      </c>
      <c r="W155" s="9">
        <f t="shared" si="388"/>
        <v>0</v>
      </c>
      <c r="X155" s="9">
        <f t="shared" si="388"/>
        <v>0</v>
      </c>
      <c r="Y155" s="9">
        <f t="shared" si="388"/>
        <v>0</v>
      </c>
      <c r="Z155" s="9">
        <f t="shared" si="388"/>
        <v>0</v>
      </c>
      <c r="AA155" s="9">
        <f t="shared" si="388"/>
        <v>0</v>
      </c>
      <c r="AB155" s="9">
        <f t="shared" si="388"/>
        <v>0</v>
      </c>
      <c r="AC155" s="9">
        <f t="shared" si="388"/>
        <v>0</v>
      </c>
      <c r="AD155" s="9">
        <f t="shared" si="388"/>
        <v>0</v>
      </c>
      <c r="AE155" s="9">
        <f t="shared" si="388"/>
        <v>0</v>
      </c>
      <c r="AF155" s="9">
        <f t="shared" si="388"/>
        <v>0</v>
      </c>
      <c r="AG155" s="9">
        <f t="shared" si="388"/>
        <v>0</v>
      </c>
      <c r="AH155" s="9">
        <f t="shared" si="388"/>
        <v>0</v>
      </c>
      <c r="AI155" s="9">
        <f t="shared" si="388"/>
        <v>0</v>
      </c>
      <c r="AJ155" s="9">
        <f t="shared" si="388"/>
        <v>0</v>
      </c>
      <c r="AK155" s="9">
        <f t="shared" si="388"/>
        <v>0</v>
      </c>
      <c r="AL155" s="9">
        <f t="shared" ref="AL155:AM155" si="389">-SUM(AL66:AL67)</f>
        <v>0</v>
      </c>
      <c r="AM155" s="9">
        <f t="shared" si="389"/>
        <v>0</v>
      </c>
      <c r="AN155" s="9">
        <f t="shared" ref="AN155:AO155" si="390">-SUM(AN66:AN67)</f>
        <v>0</v>
      </c>
      <c r="AO155" s="9">
        <f t="shared" si="390"/>
        <v>0</v>
      </c>
      <c r="AP155" s="9">
        <f t="shared" ref="AP155:AQ155" si="391">-SUM(AP66:AP67)</f>
        <v>0</v>
      </c>
      <c r="AQ155" s="9">
        <f t="shared" si="391"/>
        <v>0</v>
      </c>
      <c r="AR155" s="9">
        <f t="shared" ref="AR155" si="392">-SUM(AR66:AR67)</f>
        <v>-49</v>
      </c>
    </row>
    <row r="156" spans="3:44" x14ac:dyDescent="0.3">
      <c r="C156" s="9">
        <v>28</v>
      </c>
      <c r="G156" t="s">
        <v>105</v>
      </c>
      <c r="H156" s="9">
        <f>SUM(H45:H46)</f>
        <v>28</v>
      </c>
      <c r="I156" s="9">
        <f t="shared" ref="I156:AK156" si="393">SUM(I45:I46)</f>
        <v>28</v>
      </c>
      <c r="J156" s="9">
        <f t="shared" si="393"/>
        <v>13</v>
      </c>
      <c r="K156" s="9">
        <f t="shared" si="393"/>
        <v>31</v>
      </c>
      <c r="L156" s="9">
        <f t="shared" si="393"/>
        <v>32</v>
      </c>
      <c r="M156" s="9">
        <f t="shared" si="393"/>
        <v>68</v>
      </c>
      <c r="N156" s="9">
        <f t="shared" si="393"/>
        <v>38</v>
      </c>
      <c r="O156" s="9">
        <f t="shared" si="393"/>
        <v>61</v>
      </c>
      <c r="P156" s="9">
        <f t="shared" si="393"/>
        <v>199</v>
      </c>
      <c r="Q156" s="9">
        <f t="shared" si="393"/>
        <v>218</v>
      </c>
      <c r="R156" s="9">
        <f t="shared" si="393"/>
        <v>238</v>
      </c>
      <c r="S156" s="9">
        <f t="shared" si="393"/>
        <v>535</v>
      </c>
      <c r="T156" s="9">
        <f t="shared" si="393"/>
        <v>1219</v>
      </c>
      <c r="U156" s="9">
        <f t="shared" si="393"/>
        <v>1385</v>
      </c>
      <c r="V156" s="9">
        <f t="shared" si="393"/>
        <v>1643</v>
      </c>
      <c r="W156" s="9">
        <f t="shared" si="393"/>
        <v>1935</v>
      </c>
      <c r="X156" s="9">
        <f t="shared" si="393"/>
        <v>1487</v>
      </c>
      <c r="Y156" s="9">
        <f t="shared" si="393"/>
        <v>961</v>
      </c>
      <c r="Z156" s="9">
        <f t="shared" si="393"/>
        <v>777</v>
      </c>
      <c r="AA156" s="9">
        <f t="shared" si="393"/>
        <v>1043</v>
      </c>
      <c r="AB156" s="9">
        <f t="shared" si="393"/>
        <v>1318</v>
      </c>
      <c r="AC156" s="9">
        <f t="shared" si="393"/>
        <v>1410</v>
      </c>
      <c r="AD156" s="9">
        <f t="shared" si="393"/>
        <v>1062</v>
      </c>
      <c r="AE156" s="9">
        <f t="shared" si="393"/>
        <v>1320</v>
      </c>
      <c r="AF156" s="9">
        <f t="shared" si="393"/>
        <v>1048</v>
      </c>
      <c r="AG156" s="9">
        <f t="shared" si="393"/>
        <v>1282</v>
      </c>
      <c r="AH156" s="9">
        <f t="shared" si="393"/>
        <v>1574</v>
      </c>
      <c r="AI156" s="9">
        <f t="shared" si="393"/>
        <v>1428</v>
      </c>
      <c r="AJ156" s="9">
        <f t="shared" si="393"/>
        <v>1740</v>
      </c>
      <c r="AK156" s="9">
        <f t="shared" si="393"/>
        <v>2200</v>
      </c>
      <c r="AL156" s="9">
        <f t="shared" ref="AL156:AM156" si="394">SUM(AL45:AL46)</f>
        <v>843</v>
      </c>
      <c r="AM156" s="9">
        <f t="shared" si="394"/>
        <v>1196</v>
      </c>
      <c r="AN156" s="9">
        <f t="shared" ref="AN156:AO156" si="395">SUM(AN45:AN46)</f>
        <v>334</v>
      </c>
      <c r="AO156" s="9">
        <f t="shared" si="395"/>
        <v>305</v>
      </c>
      <c r="AP156" s="9">
        <f t="shared" ref="AP156:AQ156" si="396">SUM(AP45:AP46)</f>
        <v>157</v>
      </c>
      <c r="AQ156" s="9">
        <f t="shared" si="396"/>
        <v>325</v>
      </c>
      <c r="AR156" s="9">
        <f t="shared" ref="AR156" si="397">SUM(AR45:AR46)</f>
        <v>207</v>
      </c>
    </row>
    <row r="157" spans="3:44" x14ac:dyDescent="0.3">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row>
    <row r="158" spans="3:44" x14ac:dyDescent="0.3">
      <c r="G158" s="40" t="s">
        <v>119</v>
      </c>
      <c r="H158" s="65">
        <f>SUM(H31,H47,-H53,-H68)</f>
        <v>45656</v>
      </c>
      <c r="I158" s="65">
        <f t="shared" ref="I158:AK158" si="398">SUM(I31,I47,-I53,-I68)</f>
        <v>55015</v>
      </c>
      <c r="J158" s="65">
        <f t="shared" si="398"/>
        <v>62097</v>
      </c>
      <c r="K158" s="65">
        <f t="shared" si="398"/>
        <v>51811</v>
      </c>
      <c r="L158" s="65">
        <f t="shared" si="398"/>
        <v>53903</v>
      </c>
      <c r="M158" s="65">
        <f t="shared" si="398"/>
        <v>45232</v>
      </c>
      <c r="N158" s="65">
        <f t="shared" si="398"/>
        <v>49355</v>
      </c>
      <c r="O158" s="65">
        <f t="shared" si="398"/>
        <v>62410</v>
      </c>
      <c r="P158" s="65">
        <f t="shared" si="398"/>
        <v>21676</v>
      </c>
      <c r="Q158" s="65">
        <f t="shared" si="398"/>
        <v>-3633</v>
      </c>
      <c r="R158" s="65">
        <f t="shared" si="398"/>
        <v>24021</v>
      </c>
      <c r="S158" s="65">
        <f t="shared" si="398"/>
        <v>36672</v>
      </c>
      <c r="T158" s="65">
        <f t="shared" si="398"/>
        <v>-20417</v>
      </c>
      <c r="U158" s="65">
        <f t="shared" si="398"/>
        <v>32643</v>
      </c>
      <c r="V158" s="65">
        <f t="shared" si="398"/>
        <v>140589</v>
      </c>
      <c r="W158" s="65">
        <f t="shared" si="398"/>
        <v>65893</v>
      </c>
      <c r="X158" s="65">
        <f t="shared" si="398"/>
        <v>60866</v>
      </c>
      <c r="Y158" s="65">
        <f t="shared" si="398"/>
        <v>46639</v>
      </c>
      <c r="Z158" s="65">
        <f t="shared" si="398"/>
        <v>-28510</v>
      </c>
      <c r="AA158" s="65">
        <f t="shared" si="398"/>
        <v>27016</v>
      </c>
      <c r="AB158" s="65">
        <f t="shared" si="398"/>
        <v>-71676.5</v>
      </c>
      <c r="AC158" s="65">
        <f t="shared" si="398"/>
        <v>7745.5</v>
      </c>
      <c r="AD158" s="65">
        <f t="shared" si="398"/>
        <v>-16072</v>
      </c>
      <c r="AE158" s="65">
        <f t="shared" si="398"/>
        <v>16188</v>
      </c>
      <c r="AF158" s="65">
        <f t="shared" si="398"/>
        <v>-43594</v>
      </c>
      <c r="AG158" s="65">
        <f t="shared" si="398"/>
        <v>-21533</v>
      </c>
      <c r="AH158" s="65">
        <f t="shared" si="398"/>
        <v>-64591</v>
      </c>
      <c r="AI158" s="65">
        <f t="shared" si="398"/>
        <v>13340</v>
      </c>
      <c r="AJ158" s="65">
        <f t="shared" si="398"/>
        <v>-1212</v>
      </c>
      <c r="AK158" s="65">
        <f t="shared" si="398"/>
        <v>106988</v>
      </c>
      <c r="AL158" s="65">
        <f t="shared" ref="AL158:AM158" si="399">SUM(AL31,AL47,-AL53,-AL68)</f>
        <v>143381</v>
      </c>
      <c r="AM158" s="65">
        <f t="shared" si="399"/>
        <v>222413</v>
      </c>
      <c r="AN158" s="65">
        <f t="shared" ref="AN158:AO158" si="400">SUM(AN31,AN47,-AN53,-AN68)</f>
        <v>178638</v>
      </c>
      <c r="AO158" s="65">
        <f t="shared" si="400"/>
        <v>66703</v>
      </c>
      <c r="AP158" s="65">
        <f t="shared" ref="AP158:AQ158" si="401">SUM(AP31,AP47,-AP53,-AP68)</f>
        <v>58634</v>
      </c>
      <c r="AQ158" s="65">
        <f t="shared" si="401"/>
        <v>-61722</v>
      </c>
      <c r="AR158" s="65">
        <f t="shared" ref="AR158" si="402">SUM(AR31,AR47,-AR53,-AR68)</f>
        <v>-327847</v>
      </c>
    </row>
    <row r="159" spans="3:44" x14ac:dyDescent="0.3">
      <c r="G159" s="40" t="s">
        <v>120</v>
      </c>
      <c r="H159" s="65">
        <f>SUM(H137:H156)</f>
        <v>45656</v>
      </c>
      <c r="I159" s="65">
        <f t="shared" ref="I159:AD159" si="403">SUM(I137:I156)</f>
        <v>55015</v>
      </c>
      <c r="J159" s="65">
        <f t="shared" si="403"/>
        <v>62096.999999999985</v>
      </c>
      <c r="K159" s="65">
        <f t="shared" si="403"/>
        <v>51811</v>
      </c>
      <c r="L159" s="65">
        <f t="shared" si="403"/>
        <v>53903</v>
      </c>
      <c r="M159" s="65">
        <f t="shared" si="403"/>
        <v>45232</v>
      </c>
      <c r="N159" s="65">
        <f t="shared" si="403"/>
        <v>49355</v>
      </c>
      <c r="O159" s="65">
        <f t="shared" si="403"/>
        <v>62410</v>
      </c>
      <c r="P159" s="65">
        <f t="shared" si="403"/>
        <v>21675.999999999985</v>
      </c>
      <c r="Q159" s="65">
        <f t="shared" si="403"/>
        <v>-3632.9999999999927</v>
      </c>
      <c r="R159" s="65">
        <f t="shared" si="403"/>
        <v>24021.000000000011</v>
      </c>
      <c r="S159" s="65">
        <f t="shared" si="403"/>
        <v>36671.999999999993</v>
      </c>
      <c r="T159" s="65">
        <f t="shared" si="403"/>
        <v>-20416.999999999964</v>
      </c>
      <c r="U159" s="65">
        <f t="shared" si="403"/>
        <v>32642.999999999989</v>
      </c>
      <c r="V159" s="65">
        <f t="shared" si="403"/>
        <v>140589</v>
      </c>
      <c r="W159" s="65">
        <f t="shared" si="403"/>
        <v>65893</v>
      </c>
      <c r="X159" s="65">
        <f t="shared" si="403"/>
        <v>60865.999999999978</v>
      </c>
      <c r="Y159" s="65">
        <f t="shared" si="403"/>
        <v>46639.000000000015</v>
      </c>
      <c r="Z159" s="65">
        <f t="shared" si="403"/>
        <v>-28510.000000000015</v>
      </c>
      <c r="AA159" s="65">
        <f t="shared" si="403"/>
        <v>27015.999999999964</v>
      </c>
      <c r="AB159" s="65">
        <f t="shared" si="403"/>
        <v>-71676.5</v>
      </c>
      <c r="AC159" s="65">
        <f t="shared" si="403"/>
        <v>7745.5</v>
      </c>
      <c r="AD159" s="65">
        <f t="shared" si="403"/>
        <v>-16072.000000000058</v>
      </c>
      <c r="AE159" s="65">
        <f t="shared" ref="AE159:AJ159" si="404">SUM(AE137:AE156)</f>
        <v>16188</v>
      </c>
      <c r="AF159" s="65">
        <f t="shared" si="404"/>
        <v>-43593.999999999942</v>
      </c>
      <c r="AG159" s="65">
        <f t="shared" si="404"/>
        <v>-21532.999999999971</v>
      </c>
      <c r="AH159" s="65">
        <f t="shared" si="404"/>
        <v>-64590.999999999942</v>
      </c>
      <c r="AI159" s="65">
        <f t="shared" si="404"/>
        <v>13340.000000000058</v>
      </c>
      <c r="AJ159" s="65">
        <f t="shared" si="404"/>
        <v>-1212.0000000000291</v>
      </c>
      <c r="AK159" s="65">
        <f t="shared" ref="AK159:AM159" si="405">SUM(AK137:AK156)</f>
        <v>106988</v>
      </c>
      <c r="AL159" s="65">
        <f t="shared" si="405"/>
        <v>143380.99999999994</v>
      </c>
      <c r="AM159" s="65">
        <f t="shared" si="405"/>
        <v>222412.99999999994</v>
      </c>
      <c r="AN159" s="65">
        <f t="shared" ref="AN159:AO159" si="406">SUM(AN137:AN156)</f>
        <v>178638</v>
      </c>
      <c r="AO159" s="65">
        <f t="shared" si="406"/>
        <v>66703</v>
      </c>
      <c r="AP159" s="65">
        <f t="shared" ref="AP159:AQ159" si="407">SUM(AP137:AP156)</f>
        <v>58633.999999999942</v>
      </c>
      <c r="AQ159" s="65">
        <f t="shared" si="407"/>
        <v>-61722.000000000029</v>
      </c>
      <c r="AR159" s="65">
        <f t="shared" ref="AR159" si="408">SUM(AR137:AR156)</f>
        <v>-327847</v>
      </c>
    </row>
    <row r="161" spans="5:47" x14ac:dyDescent="0.3">
      <c r="G161" s="40" t="s">
        <v>121</v>
      </c>
      <c r="H161" s="40"/>
      <c r="I161" s="40"/>
      <c r="J161" s="40"/>
      <c r="K161" s="40"/>
      <c r="L161" s="40"/>
      <c r="M161" s="40"/>
      <c r="N161" s="40"/>
      <c r="O161" s="40"/>
      <c r="P161" s="40"/>
      <c r="Q161" s="40"/>
      <c r="R161" s="40"/>
      <c r="S161" s="40"/>
      <c r="T161" s="40"/>
      <c r="U161" s="40"/>
      <c r="V161" s="40"/>
      <c r="W161" s="40"/>
      <c r="X161" s="40"/>
      <c r="Y161" s="40"/>
      <c r="Z161" s="40"/>
      <c r="AA161" s="40"/>
      <c r="AB161" s="40"/>
    </row>
    <row r="164" spans="5:47" x14ac:dyDescent="0.3">
      <c r="R164" s="9"/>
    </row>
    <row r="165" spans="5:47" x14ac:dyDescent="0.3">
      <c r="G165" t="s">
        <v>122</v>
      </c>
      <c r="H165" s="9">
        <f>+'Electric Vehicles'!H16</f>
        <v>10172</v>
      </c>
      <c r="I165" s="9">
        <f>+'Electric Vehicles'!H17</f>
        <v>11122</v>
      </c>
      <c r="J165" s="9">
        <f>+'Electric Vehicles'!H18</f>
        <v>12057</v>
      </c>
      <c r="K165" s="9">
        <f>+'Electric Vehicles'!H19</f>
        <v>13169</v>
      </c>
      <c r="L165" s="9">
        <f>+'Electric Vehicles'!H20</f>
        <v>14319</v>
      </c>
      <c r="M165" s="9">
        <f>+'Electric Vehicles'!H21</f>
        <v>15418</v>
      </c>
      <c r="N165" s="9">
        <f>+'Electric Vehicles'!H22</f>
        <v>16325</v>
      </c>
      <c r="O165" s="9">
        <f>+'Electric Vehicles'!H23</f>
        <v>17313</v>
      </c>
      <c r="P165" s="9">
        <f>+'Electric Vehicles'!H24</f>
        <v>18461</v>
      </c>
      <c r="Q165" s="9">
        <f>+'Electric Vehicles'!H25</f>
        <v>19638</v>
      </c>
      <c r="R165" s="9">
        <f>+'Electric Vehicles'!H26</f>
        <v>20867</v>
      </c>
      <c r="S165" s="9">
        <f>+'Electric Vehicles'!H27</f>
        <v>22847</v>
      </c>
      <c r="T165" s="9">
        <f>+'Electric Vehicles'!H28</f>
        <v>24747</v>
      </c>
      <c r="U165" s="9">
        <f>+'Electric Vehicles'!H29</f>
        <v>26315</v>
      </c>
      <c r="V165" s="9">
        <f>+'Electric Vehicles'!H30</f>
        <v>28425</v>
      </c>
      <c r="W165" s="9">
        <f>+'Electric Vehicles'!H31</f>
        <v>30242</v>
      </c>
      <c r="X165" s="9">
        <f>+'Electric Vehicles'!H32</f>
        <v>31990</v>
      </c>
      <c r="Y165" s="9">
        <f>+'Electric Vehicles'!H33</f>
        <v>32171</v>
      </c>
      <c r="Z165" s="9">
        <f>+'Electric Vehicles'!H34</f>
        <v>33247</v>
      </c>
      <c r="AA165" s="9">
        <f>+'Electric Vehicles'!H35</f>
        <v>35165</v>
      </c>
      <c r="AB165" s="9">
        <f>+'Electric Vehicles'!H36</f>
        <v>37275</v>
      </c>
      <c r="AC165" s="9">
        <f>+'Electric Vehicles'!H37</f>
        <v>39640</v>
      </c>
      <c r="AD165" s="9">
        <f>+'Electric Vehicles'!H38</f>
        <v>42996</v>
      </c>
      <c r="AE165" s="9">
        <f>+'Electric Vehicles'!H39</f>
        <v>46707</v>
      </c>
      <c r="AF165" s="9">
        <f>+'Electric Vehicles'!H40</f>
        <v>49714</v>
      </c>
      <c r="AG165" s="9">
        <f>+'Electric Vehicles'!H41</f>
        <v>53111</v>
      </c>
      <c r="AH165" s="9">
        <f>+'Electric Vehicles'!H42</f>
        <v>57759</v>
      </c>
      <c r="AI165" s="9">
        <f>+'Electric Vehicles'!H43</f>
        <v>62576</v>
      </c>
      <c r="AJ165" s="9">
        <f>+'Electric Vehicles'!H44</f>
        <v>67886</v>
      </c>
      <c r="AK165" s="9">
        <f>+'Electric Vehicles'!H45</f>
        <v>72243</v>
      </c>
      <c r="AL165" s="9">
        <f>+'Electric Vehicles'!H46</f>
        <v>79110</v>
      </c>
      <c r="AM165" s="9">
        <f>+'Electric Vehicles'!H47</f>
        <v>84998</v>
      </c>
      <c r="AN165" s="9">
        <f>+'Electric Vehicles'!H48</f>
        <v>91555</v>
      </c>
      <c r="AO165" s="9">
        <f>+'Electric Vehicles'!H49</f>
        <v>98279</v>
      </c>
      <c r="AP165" s="9">
        <f>+'Electric Vehicles'!H50</f>
        <v>104640</v>
      </c>
      <c r="AQ165" s="9">
        <f>+'Electric Vehicles'!H51</f>
        <v>109473</v>
      </c>
      <c r="AR165" s="9">
        <f>+'Electric Vehicles'!H52</f>
        <v>115774</v>
      </c>
      <c r="AS165" s="9">
        <f>+'Electric Vehicles'!H53</f>
        <v>120615</v>
      </c>
      <c r="AT165" s="9">
        <f>+'Electric Vehicles'!H54</f>
        <v>125656</v>
      </c>
      <c r="AU165" s="9">
        <f>+'Electric Vehicles'!H55</f>
        <v>130680</v>
      </c>
    </row>
    <row r="168" spans="5:47" x14ac:dyDescent="0.3">
      <c r="E168" s="14" t="s">
        <v>2</v>
      </c>
      <c r="H168" s="14" t="s">
        <v>3</v>
      </c>
    </row>
    <row r="169" spans="5:47" x14ac:dyDescent="0.3">
      <c r="E169" s="14" t="s">
        <v>4</v>
      </c>
      <c r="F169" s="14" t="s">
        <v>5</v>
      </c>
      <c r="G169" s="14" t="s">
        <v>6</v>
      </c>
      <c r="H169" s="15">
        <v>42370</v>
      </c>
      <c r="I169" s="15">
        <v>42461</v>
      </c>
      <c r="J169" s="15">
        <v>42552</v>
      </c>
      <c r="K169" s="15">
        <v>42644</v>
      </c>
      <c r="L169" s="15">
        <v>42736</v>
      </c>
      <c r="M169" s="15">
        <v>42826</v>
      </c>
      <c r="N169" s="15">
        <v>42917</v>
      </c>
      <c r="O169" s="15">
        <v>43009</v>
      </c>
      <c r="P169" s="15">
        <v>43101</v>
      </c>
      <c r="Q169" s="15">
        <v>43191</v>
      </c>
      <c r="R169" s="15">
        <v>43282</v>
      </c>
      <c r="S169" s="15">
        <v>43374</v>
      </c>
      <c r="T169" s="15">
        <v>43466</v>
      </c>
      <c r="U169" s="15">
        <v>43556</v>
      </c>
      <c r="V169" s="15">
        <v>43647</v>
      </c>
      <c r="W169" s="15">
        <v>43739</v>
      </c>
      <c r="X169" s="15">
        <v>43831</v>
      </c>
      <c r="Y169" s="15">
        <v>43922</v>
      </c>
      <c r="Z169" s="15">
        <v>44013</v>
      </c>
      <c r="AA169" s="15">
        <v>44105</v>
      </c>
      <c r="AB169" s="15">
        <v>44197</v>
      </c>
      <c r="AC169" s="15">
        <v>44287</v>
      </c>
      <c r="AD169" s="15">
        <v>44378</v>
      </c>
      <c r="AE169" s="15">
        <v>44470</v>
      </c>
      <c r="AF169" s="15">
        <v>44562</v>
      </c>
      <c r="AG169" s="15">
        <v>44652</v>
      </c>
      <c r="AH169" s="15">
        <v>44743</v>
      </c>
      <c r="AI169" s="15">
        <v>44835</v>
      </c>
      <c r="AJ169" s="15">
        <v>44927</v>
      </c>
      <c r="AK169" s="15">
        <v>45017</v>
      </c>
      <c r="AL169" s="15">
        <v>45108</v>
      </c>
      <c r="AM169" s="15">
        <v>45200</v>
      </c>
      <c r="AN169" s="15">
        <v>45292</v>
      </c>
      <c r="AO169" s="15">
        <v>45383</v>
      </c>
      <c r="AP169" s="15">
        <v>45474</v>
      </c>
      <c r="AQ169" s="15">
        <v>45566</v>
      </c>
      <c r="AR169" s="15">
        <v>45658</v>
      </c>
    </row>
    <row r="170" spans="5:47" x14ac:dyDescent="0.3">
      <c r="E170" t="s">
        <v>123</v>
      </c>
      <c r="F170" t="s">
        <v>15</v>
      </c>
      <c r="G170" t="s">
        <v>16</v>
      </c>
      <c r="H170">
        <v>48.71</v>
      </c>
      <c r="I170">
        <v>59.95</v>
      </c>
      <c r="J170">
        <v>43.135008999999997</v>
      </c>
      <c r="K170">
        <v>41.303731999999997</v>
      </c>
      <c r="L170">
        <v>53.120438999999998</v>
      </c>
      <c r="M170">
        <v>52.154767999999997</v>
      </c>
      <c r="N170">
        <v>48.007739000000001</v>
      </c>
      <c r="O170">
        <v>45.111696999999999</v>
      </c>
      <c r="P170">
        <v>56.240825999999998</v>
      </c>
      <c r="Q170">
        <v>58.58325</v>
      </c>
      <c r="R170">
        <v>58.725583</v>
      </c>
      <c r="S170">
        <v>59.574649999999998</v>
      </c>
      <c r="T170">
        <v>59.438955</v>
      </c>
      <c r="U170">
        <v>59.490509000000003</v>
      </c>
      <c r="V170">
        <v>59.655835000000003</v>
      </c>
      <c r="W170">
        <v>55.287379999999999</v>
      </c>
      <c r="X170">
        <v>58.600943000000001</v>
      </c>
      <c r="Y170">
        <v>58.880141999999999</v>
      </c>
      <c r="Z170">
        <v>52.934475999999997</v>
      </c>
      <c r="AA170">
        <v>52.835273000000001</v>
      </c>
      <c r="AB170">
        <v>51.284272000000001</v>
      </c>
      <c r="AC170">
        <v>44.692737000000001</v>
      </c>
      <c r="AD170">
        <v>9.7770899999999994</v>
      </c>
      <c r="AE170">
        <v>-2.982253</v>
      </c>
      <c r="AF170">
        <v>-10.223516</v>
      </c>
      <c r="AG170">
        <v>16.042795000000002</v>
      </c>
      <c r="AH170">
        <v>52.637411</v>
      </c>
      <c r="AI170">
        <v>12.733893999999999</v>
      </c>
      <c r="AJ170">
        <v>-82.821997999999994</v>
      </c>
      <c r="AK170">
        <v>-189.22628399999999</v>
      </c>
      <c r="AL170">
        <v>-233.338233</v>
      </c>
      <c r="AM170">
        <v>-235.56300100000001</v>
      </c>
      <c r="AN170">
        <v>-13.006612000000001</v>
      </c>
      <c r="AO170">
        <v>9.7987830000000002</v>
      </c>
      <c r="AP170">
        <v>24.311437999999999</v>
      </c>
      <c r="AQ170">
        <v>10.417018000000001</v>
      </c>
      <c r="AR170">
        <v>8.0857030000000005</v>
      </c>
    </row>
    <row r="171" spans="5:47" x14ac:dyDescent="0.3">
      <c r="G171" t="s">
        <v>29</v>
      </c>
      <c r="S171">
        <v>39.26</v>
      </c>
      <c r="T171">
        <v>39.26</v>
      </c>
      <c r="U171">
        <v>39.26</v>
      </c>
      <c r="V171">
        <v>39.26</v>
      </c>
      <c r="W171">
        <v>39.26</v>
      </c>
      <c r="X171">
        <v>39.26</v>
      </c>
      <c r="Y171">
        <v>39.26</v>
      </c>
      <c r="Z171">
        <v>45</v>
      </c>
      <c r="AA171">
        <v>45</v>
      </c>
      <c r="AB171">
        <v>30.426911</v>
      </c>
      <c r="AC171">
        <v>37.5</v>
      </c>
      <c r="AD171">
        <v>33</v>
      </c>
      <c r="AE171">
        <v>37.5</v>
      </c>
      <c r="AF171">
        <v>43.5</v>
      </c>
      <c r="AG171">
        <v>24.002520000000001</v>
      </c>
      <c r="AH171">
        <v>20.5</v>
      </c>
      <c r="AI171">
        <v>26</v>
      </c>
      <c r="AJ171">
        <v>20.5</v>
      </c>
      <c r="AK171">
        <v>20.5</v>
      </c>
      <c r="AL171">
        <v>20.5</v>
      </c>
      <c r="AM171">
        <v>20.5</v>
      </c>
    </row>
    <row r="172" spans="5:47" x14ac:dyDescent="0.3">
      <c r="F172" t="s">
        <v>82</v>
      </c>
      <c r="G172" t="s">
        <v>82</v>
      </c>
      <c r="H172">
        <v>64.497709</v>
      </c>
      <c r="I172">
        <v>62.848443000000003</v>
      </c>
      <c r="J172">
        <v>62.995120999999997</v>
      </c>
      <c r="K172">
        <v>62.479680999999999</v>
      </c>
      <c r="L172">
        <v>62.677536000000003</v>
      </c>
      <c r="M172">
        <v>63.038142999999998</v>
      </c>
      <c r="N172">
        <v>63.490310000000001</v>
      </c>
      <c r="O172">
        <v>61.334682000000001</v>
      </c>
      <c r="P172">
        <v>61.852632999999997</v>
      </c>
      <c r="Q172">
        <v>61.116908000000002</v>
      </c>
      <c r="R172">
        <v>60.805055000000003</v>
      </c>
      <c r="S172">
        <v>59.728518000000001</v>
      </c>
      <c r="T172">
        <v>60.130837999999997</v>
      </c>
      <c r="U172">
        <v>59.68497</v>
      </c>
      <c r="V172">
        <v>57.023997999999999</v>
      </c>
      <c r="W172">
        <v>55.806162</v>
      </c>
      <c r="X172">
        <v>55.325642000000002</v>
      </c>
      <c r="Y172">
        <v>55.784185999999998</v>
      </c>
      <c r="Z172">
        <v>55.025322000000003</v>
      </c>
      <c r="AA172">
        <v>52.894784999999999</v>
      </c>
      <c r="AB172">
        <v>53.552016000000002</v>
      </c>
      <c r="AC172">
        <v>53.657761000000001</v>
      </c>
      <c r="AD172">
        <v>53.672823000000001</v>
      </c>
      <c r="AE172">
        <v>53.984381999999997</v>
      </c>
      <c r="AF172">
        <v>53.709029999999998</v>
      </c>
      <c r="AG172">
        <v>53.340283999999997</v>
      </c>
      <c r="AH172">
        <v>54.008096000000002</v>
      </c>
      <c r="AI172">
        <v>52.456783999999999</v>
      </c>
      <c r="AJ172">
        <v>49.618988000000002</v>
      </c>
      <c r="AK172">
        <v>51.528275999999998</v>
      </c>
      <c r="AL172">
        <v>52.950693999999999</v>
      </c>
      <c r="AM172">
        <v>49.234352999999999</v>
      </c>
      <c r="AN172">
        <v>48.789062999999999</v>
      </c>
      <c r="AO172">
        <v>47.912751</v>
      </c>
      <c r="AP172">
        <v>48.653191999999997</v>
      </c>
      <c r="AQ172">
        <v>49.801121000000002</v>
      </c>
      <c r="AR172">
        <v>45.677177999999998</v>
      </c>
    </row>
    <row r="173" spans="5:47" x14ac:dyDescent="0.3">
      <c r="F173" t="s">
        <v>18</v>
      </c>
      <c r="G173" t="s">
        <v>18</v>
      </c>
      <c r="H173">
        <v>56.379038000000001</v>
      </c>
      <c r="I173">
        <v>51.309482000000003</v>
      </c>
      <c r="J173">
        <v>51.127991000000002</v>
      </c>
      <c r="K173">
        <v>48.720706</v>
      </c>
      <c r="L173">
        <v>46.351509999999998</v>
      </c>
      <c r="M173">
        <v>47.582414</v>
      </c>
      <c r="N173">
        <v>47.061188000000001</v>
      </c>
      <c r="O173">
        <v>47.447875000000003</v>
      </c>
      <c r="P173">
        <v>45.212212999999998</v>
      </c>
      <c r="Q173">
        <v>46.029558999999999</v>
      </c>
      <c r="R173">
        <v>45.337699999999998</v>
      </c>
      <c r="S173">
        <v>44.345942000000001</v>
      </c>
      <c r="T173">
        <v>39.512534000000002</v>
      </c>
      <c r="U173">
        <v>38.918771</v>
      </c>
      <c r="V173">
        <v>38.965134999999997</v>
      </c>
      <c r="W173">
        <v>37.381453</v>
      </c>
      <c r="X173">
        <v>36.606195999999997</v>
      </c>
      <c r="Y173">
        <v>43.720219999999998</v>
      </c>
      <c r="Z173">
        <v>42.808405999999998</v>
      </c>
      <c r="AA173">
        <v>44.646799999999999</v>
      </c>
      <c r="AB173">
        <v>43.230877999999997</v>
      </c>
      <c r="AC173">
        <v>40.469614999999997</v>
      </c>
      <c r="AD173">
        <v>41.843519000000001</v>
      </c>
      <c r="AE173">
        <v>42.091814999999997</v>
      </c>
      <c r="AF173">
        <v>42.352676000000002</v>
      </c>
      <c r="AG173">
        <v>40.411079999999998</v>
      </c>
      <c r="AH173">
        <v>41.363484</v>
      </c>
      <c r="AI173">
        <v>42.012034</v>
      </c>
      <c r="AJ173">
        <v>45.526927999999998</v>
      </c>
      <c r="AK173">
        <v>44.291652999999997</v>
      </c>
      <c r="AL173">
        <v>44.744835000000002</v>
      </c>
      <c r="AM173">
        <v>45.831619000000003</v>
      </c>
      <c r="AN173">
        <v>46.527217</v>
      </c>
      <c r="AO173">
        <v>43.619804999999999</v>
      </c>
      <c r="AP173">
        <v>42.927725000000002</v>
      </c>
      <c r="AQ173">
        <v>46.424750000000003</v>
      </c>
      <c r="AR173">
        <v>46.052311000000003</v>
      </c>
    </row>
    <row r="174" spans="5:47" x14ac:dyDescent="0.3">
      <c r="F174" t="s">
        <v>19</v>
      </c>
      <c r="G174" t="s">
        <v>19</v>
      </c>
      <c r="O174">
        <v>33.64</v>
      </c>
      <c r="P174">
        <v>48.755915000000002</v>
      </c>
      <c r="Q174">
        <v>36.380665</v>
      </c>
      <c r="R174">
        <v>37.423884000000001</v>
      </c>
      <c r="S174">
        <v>34.957965000000002</v>
      </c>
      <c r="T174">
        <v>53.912984999999999</v>
      </c>
      <c r="U174">
        <v>44.743946999999999</v>
      </c>
      <c r="V174">
        <v>29.880027999999999</v>
      </c>
      <c r="W174">
        <v>28.248653000000001</v>
      </c>
      <c r="X174">
        <v>27.322922999999999</v>
      </c>
      <c r="Y174">
        <v>30.180482000000001</v>
      </c>
      <c r="Z174">
        <v>64.024272999999994</v>
      </c>
      <c r="AA174">
        <v>39.460264000000002</v>
      </c>
      <c r="AB174">
        <v>63.839466000000002</v>
      </c>
      <c r="AC174">
        <v>298.40747599999997</v>
      </c>
      <c r="AD174">
        <v>48.947758999999998</v>
      </c>
      <c r="AE174">
        <v>-1561.2142200000001</v>
      </c>
      <c r="AF174">
        <v>44.805197999999997</v>
      </c>
      <c r="AG174">
        <v>39.855713000000002</v>
      </c>
      <c r="AH174">
        <v>19.692378000000001</v>
      </c>
      <c r="AI174">
        <v>43.538514999999997</v>
      </c>
      <c r="AJ174">
        <v>46.658309000000003</v>
      </c>
      <c r="AK174">
        <v>32.456212000000001</v>
      </c>
      <c r="AL174">
        <v>32.833112</v>
      </c>
      <c r="AM174">
        <v>29.250657</v>
      </c>
      <c r="AN174">
        <v>32.701335999999998</v>
      </c>
      <c r="AO174">
        <v>31.864189</v>
      </c>
      <c r="AP174">
        <v>34.643231</v>
      </c>
      <c r="AQ174">
        <v>45.627907999999998</v>
      </c>
      <c r="AR174">
        <v>18.651433999999998</v>
      </c>
    </row>
  </sheetData>
  <phoneticPr fontId="32" type="noConversion"/>
  <pageMargins left="0.7" right="0.7" top="0.75" bottom="0.75" header="0.3" footer="0.3"/>
  <pageSetup orientation="portrait"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31"/>
  <sheetViews>
    <sheetView topLeftCell="A3" workbookViewId="0">
      <selection activeCell="A2" sqref="A2:N30"/>
    </sheetView>
  </sheetViews>
  <sheetFormatPr defaultRowHeight="14.4" x14ac:dyDescent="0.3"/>
  <cols>
    <col min="1" max="1" width="23" customWidth="1"/>
    <col min="2" max="6" width="8.33203125" hidden="1" customWidth="1"/>
    <col min="7" max="7" width="7.6640625" hidden="1" customWidth="1"/>
    <col min="8" max="12" width="10.33203125" customWidth="1"/>
    <col min="13" max="13" width="3" customWidth="1"/>
    <col min="14" max="14" width="11.44140625" customWidth="1"/>
  </cols>
  <sheetData>
    <row r="2" spans="1:14" ht="18" x14ac:dyDescent="0.35">
      <c r="A2" s="213" t="s">
        <v>124</v>
      </c>
      <c r="B2" s="213"/>
      <c r="C2" s="213"/>
      <c r="D2" s="213"/>
      <c r="E2" s="213"/>
      <c r="F2" s="213"/>
      <c r="G2" s="213"/>
      <c r="H2" s="213"/>
      <c r="I2" s="213"/>
      <c r="J2" s="213"/>
      <c r="K2" s="213"/>
      <c r="L2" s="213"/>
      <c r="M2" s="213"/>
      <c r="N2" s="213"/>
    </row>
    <row r="3" spans="1:14" ht="7.5" customHeight="1" x14ac:dyDescent="0.3">
      <c r="A3" s="1"/>
      <c r="B3" s="1"/>
      <c r="C3" s="1"/>
      <c r="D3" s="1"/>
      <c r="E3" s="1"/>
      <c r="F3" s="1"/>
      <c r="G3" s="1"/>
      <c r="H3" s="1"/>
      <c r="I3" s="1"/>
      <c r="J3" s="1"/>
      <c r="K3" s="1"/>
      <c r="L3" s="1"/>
      <c r="M3" s="1"/>
      <c r="N3" s="1"/>
    </row>
    <row r="4" spans="1:14" ht="33.75" customHeight="1" thickBot="1" x14ac:dyDescent="0.35">
      <c r="A4" s="1" t="s">
        <v>125</v>
      </c>
      <c r="B4" s="123">
        <v>2016</v>
      </c>
      <c r="C4" s="123">
        <v>2017</v>
      </c>
      <c r="D4" s="123">
        <v>2018</v>
      </c>
      <c r="E4" s="123">
        <v>2019</v>
      </c>
      <c r="F4" s="123">
        <v>2020</v>
      </c>
      <c r="G4" s="124">
        <v>2021</v>
      </c>
      <c r="H4" s="124">
        <v>2022</v>
      </c>
      <c r="I4" s="124">
        <v>2023</v>
      </c>
      <c r="J4" s="124">
        <v>2024</v>
      </c>
      <c r="K4" s="124" t="s">
        <v>126</v>
      </c>
      <c r="L4" s="124" t="s">
        <v>127</v>
      </c>
      <c r="M4" s="125"/>
      <c r="N4" s="126" t="s">
        <v>128</v>
      </c>
    </row>
    <row r="5" spans="1:14" x14ac:dyDescent="0.3">
      <c r="A5" s="1" t="s">
        <v>81</v>
      </c>
      <c r="B5" s="127">
        <f>SUM(Forecast_Main!H79:K79)/1000000</f>
        <v>1424.9795580999998</v>
      </c>
      <c r="C5" s="127">
        <f>SUM(Forecast_Main!L79:O79)/1000000</f>
        <v>1444.3539645000001</v>
      </c>
      <c r="D5" s="127">
        <f>SUM(Forecast_Main!P79:S79)/1000000</f>
        <v>1539.4912468000002</v>
      </c>
      <c r="E5" s="127">
        <f>SUM(Forecast_Main!T79:W79)/1000000</f>
        <v>1565.4119771000001</v>
      </c>
      <c r="F5" s="127">
        <f>SUM(Forecast_Main!X79:AA79)/1000000</f>
        <v>1265.7552864000002</v>
      </c>
      <c r="G5" s="127">
        <f>SUM(Forecast_Main!AB79:AE79)/1000000</f>
        <v>1349.4548447</v>
      </c>
      <c r="H5" s="127">
        <f>SUM(Forecast_Main!AF79:AI79)/1000000</f>
        <v>1359.2349409999999</v>
      </c>
      <c r="I5" s="127">
        <f>SUM(Forecast_Main!AJ79:AM79)/1000000</f>
        <v>1325.3932854</v>
      </c>
      <c r="J5" s="127">
        <f>SUM(Forecast_Main!AN79:AQ79)/1000000</f>
        <v>1351.8506295999998</v>
      </c>
      <c r="K5" s="127">
        <f>SUM(Forecast_Main!AR79:AU79)/1000000</f>
        <v>1360.1701332412638</v>
      </c>
      <c r="L5" s="127">
        <f>SUM(Forecast_Main!AV79:AY79)/1000000</f>
        <v>1339.48383116075</v>
      </c>
      <c r="M5" s="127"/>
      <c r="N5" s="5">
        <f>(L5/J5)^(1/2)-1</f>
        <v>-4.584534454145639E-3</v>
      </c>
    </row>
    <row r="6" spans="1:14" x14ac:dyDescent="0.3">
      <c r="A6" s="1" t="s">
        <v>82</v>
      </c>
      <c r="B6" s="127">
        <f>SUM(Forecast_Main!H80:K80)/1000000</f>
        <v>177.6073509</v>
      </c>
      <c r="C6" s="127">
        <f>SUM(Forecast_Main!L80:O80)/1000000</f>
        <v>174.2783335</v>
      </c>
      <c r="D6" s="127">
        <f>SUM(Forecast_Main!P80:S80)/1000000</f>
        <v>172.6423222</v>
      </c>
      <c r="E6" s="127">
        <f>SUM(Forecast_Main!T80:W80)/1000000</f>
        <v>174.03229690000003</v>
      </c>
      <c r="F6" s="127">
        <f>SUM(Forecast_Main!X80:AA80)/1000000</f>
        <v>141.78659260000001</v>
      </c>
      <c r="G6" s="127">
        <f>SUM(Forecast_Main!AB80:AE80)/1000000</f>
        <v>156.7375193</v>
      </c>
      <c r="H6" s="127">
        <f>SUM(Forecast_Main!AF80:AI80)/1000000</f>
        <v>149.60632000000001</v>
      </c>
      <c r="I6" s="127">
        <f>SUM(Forecast_Main!AJ80:AM80)/1000000</f>
        <v>154.77642160000002</v>
      </c>
      <c r="J6" s="127">
        <f>SUM(Forecast_Main!AN80:AQ80)/1000000</f>
        <v>149.9967264</v>
      </c>
      <c r="K6" s="127">
        <f>SUM(Forecast_Main!AR80:AU80)/1000000</f>
        <v>152.1292770541302</v>
      </c>
      <c r="L6" s="127">
        <f>SUM(Forecast_Main!AV80:AY80)/1000000</f>
        <v>152.14627035456178</v>
      </c>
      <c r="M6" s="127"/>
      <c r="N6" s="5">
        <f>(L6/J6)^(1/2)-1</f>
        <v>7.1398144158298926E-3</v>
      </c>
    </row>
    <row r="7" spans="1:14" x14ac:dyDescent="0.3">
      <c r="A7" s="135" t="s">
        <v>129</v>
      </c>
      <c r="B7" s="136">
        <f t="shared" ref="B7:H7" si="0">B6/SUM(B5:B6)</f>
        <v>0.11082540978125513</v>
      </c>
      <c r="C7" s="136">
        <f t="shared" si="0"/>
        <v>0.10767011983842176</v>
      </c>
      <c r="D7" s="136">
        <f t="shared" si="0"/>
        <v>0.1008346108772545</v>
      </c>
      <c r="E7" s="136">
        <f t="shared" si="0"/>
        <v>0.10005051584653411</v>
      </c>
      <c r="F7" s="137">
        <f t="shared" si="0"/>
        <v>0.10073348062704428</v>
      </c>
      <c r="G7" s="136">
        <f t="shared" si="0"/>
        <v>0.10406208598996722</v>
      </c>
      <c r="H7" s="136">
        <f t="shared" si="0"/>
        <v>9.9153120919325127E-2</v>
      </c>
      <c r="I7" s="136">
        <f>I6/SUM(I5:I6)</f>
        <v>0.10456667290786544</v>
      </c>
      <c r="J7" s="136">
        <f>J6/SUM(J5:J6)</f>
        <v>9.9874814707867035E-2</v>
      </c>
      <c r="K7" s="136">
        <f>K6/SUM(K5:K6)</f>
        <v>0.10059468119769692</v>
      </c>
      <c r="L7" s="136">
        <f>L6/SUM(L5:L6)</f>
        <v>0.10199999999999999</v>
      </c>
      <c r="M7" s="128"/>
      <c r="N7" s="1"/>
    </row>
    <row r="8" spans="1:14" ht="15" thickBot="1" x14ac:dyDescent="0.35">
      <c r="A8" s="55" t="s">
        <v>84</v>
      </c>
      <c r="B8" s="129">
        <f t="shared" ref="B8:H8" si="1">SUM(B5:B6)</f>
        <v>1602.5869089999999</v>
      </c>
      <c r="C8" s="129">
        <f t="shared" si="1"/>
        <v>1618.632298</v>
      </c>
      <c r="D8" s="129">
        <f t="shared" si="1"/>
        <v>1712.1335690000003</v>
      </c>
      <c r="E8" s="129">
        <f t="shared" si="1"/>
        <v>1739.4442740000002</v>
      </c>
      <c r="F8" s="129">
        <f t="shared" si="1"/>
        <v>1407.5418790000001</v>
      </c>
      <c r="G8" s="129">
        <f t="shared" si="1"/>
        <v>1506.192364</v>
      </c>
      <c r="H8" s="129">
        <f t="shared" si="1"/>
        <v>1508.841261</v>
      </c>
      <c r="I8" s="129">
        <f>SUM(I5:I6)</f>
        <v>1480.169707</v>
      </c>
      <c r="J8" s="129">
        <f>SUM(J5:J6)</f>
        <v>1501.8473559999998</v>
      </c>
      <c r="K8" s="129">
        <f>SUM(K5:K6)</f>
        <v>1512.299410295394</v>
      </c>
      <c r="L8" s="129">
        <f>SUM(L5:L6)</f>
        <v>1491.6301015153117</v>
      </c>
      <c r="M8" s="127"/>
      <c r="N8" s="130">
        <f>(L8/J8)^(1/2)-1</f>
        <v>-3.4073673066130628E-3</v>
      </c>
    </row>
    <row r="9" spans="1:14" ht="9.75" customHeight="1" x14ac:dyDescent="0.3">
      <c r="A9" s="1"/>
      <c r="B9" s="1"/>
      <c r="C9" s="1"/>
      <c r="D9" s="1"/>
      <c r="E9" s="1"/>
      <c r="F9" s="1"/>
      <c r="G9" s="1"/>
      <c r="H9" s="1"/>
      <c r="I9" s="1"/>
      <c r="J9" s="1"/>
      <c r="K9" s="1"/>
      <c r="L9" s="1"/>
      <c r="M9" s="1"/>
      <c r="N9" s="1"/>
    </row>
    <row r="10" spans="1:14" x14ac:dyDescent="0.3">
      <c r="A10" s="1" t="s">
        <v>86</v>
      </c>
      <c r="B10" s="127">
        <f>SUM(Forecast_Main!H85:K85)/1000000</f>
        <v>708.89300119999996</v>
      </c>
      <c r="C10" s="127">
        <f>SUM(Forecast_Main!L85:O85)/1000000</f>
        <v>682.74407774999997</v>
      </c>
      <c r="D10" s="127">
        <f>SUM(Forecast_Main!P85:S85)/1000000</f>
        <v>716.54711024999995</v>
      </c>
      <c r="E10" s="127">
        <f>SUM(Forecast_Main!T85:W85)/1000000</f>
        <v>719.75400409999997</v>
      </c>
      <c r="F10" s="127">
        <f>SUM(Forecast_Main!X85:AA85)/1000000</f>
        <v>663.80666639999993</v>
      </c>
      <c r="G10" s="127">
        <f>SUM(Forecast_Main!AB85:AE85)/1000000</f>
        <v>735.47410864999995</v>
      </c>
      <c r="H10" s="127">
        <f>SUM(Forecast_Main!AF85:AI85)/1000000</f>
        <v>755.24300734999986</v>
      </c>
      <c r="I10" s="127">
        <f>SUM(Forecast_Main!AJ85:AM85)/1000000</f>
        <v>588.92200015000003</v>
      </c>
      <c r="J10" s="127">
        <f>SUM(Forecast_Main!AN85:AQ85)/1000000</f>
        <v>581.91957379999997</v>
      </c>
      <c r="K10" s="127">
        <f>SUM(Forecast_Main!AR85:AU85)/1000000</f>
        <v>574.28049453646963</v>
      </c>
      <c r="L10" s="127">
        <f>SUM(Forecast_Main!AV85:AY85)/1000000</f>
        <v>502.39346074789279</v>
      </c>
      <c r="M10" s="127"/>
      <c r="N10" s="5">
        <f>(L10/J10)^(1/2)-1</f>
        <v>-7.0839998235676549E-2</v>
      </c>
    </row>
    <row r="11" spans="1:14" x14ac:dyDescent="0.3">
      <c r="A11" s="1" t="s">
        <v>18</v>
      </c>
      <c r="B11" s="127">
        <f>SUM(Forecast_Main!H86:K86)/1000000</f>
        <v>47.535072800000002</v>
      </c>
      <c r="C11" s="127">
        <f>SUM(Forecast_Main!L86:O86)/1000000</f>
        <v>51.186438718036811</v>
      </c>
      <c r="D11" s="127">
        <f>SUM(Forecast_Main!P86:S86)/1000000</f>
        <v>51.641129925041724</v>
      </c>
      <c r="E11" s="127">
        <f>SUM(Forecast_Main!T86:W86)/1000000</f>
        <v>60.083342074614102</v>
      </c>
      <c r="F11" s="127">
        <f>SUM(Forecast_Main!X86:AA86)/1000000</f>
        <v>68.518842379704878</v>
      </c>
      <c r="G11" s="127">
        <f>SUM(Forecast_Main!AB86:AE86)/1000000</f>
        <v>75.820917301899755</v>
      </c>
      <c r="H11" s="127">
        <f>SUM(Forecast_Main!AF86:AI86)/1000000</f>
        <v>81.632561771105628</v>
      </c>
      <c r="I11" s="127">
        <f>SUM(Forecast_Main!AJ86:AM86)/1000000</f>
        <v>78.863308365533612</v>
      </c>
      <c r="J11" s="127">
        <f>SUM(Forecast_Main!AN86:AQ86)/1000000</f>
        <v>78.524994750466263</v>
      </c>
      <c r="K11" s="127">
        <f>SUM(Forecast_Main!AR86:AU86)/1000000</f>
        <v>79.922609084847593</v>
      </c>
      <c r="L11" s="127">
        <f>SUM(Forecast_Main!AV86:AY86)/1000000</f>
        <v>90.984642497649872</v>
      </c>
      <c r="M11" s="127"/>
      <c r="N11" s="5">
        <f>(L11/J11)^(1/2)-1</f>
        <v>7.6415860977619099E-2</v>
      </c>
    </row>
    <row r="12" spans="1:14" x14ac:dyDescent="0.3">
      <c r="A12" s="135" t="s">
        <v>130</v>
      </c>
      <c r="B12" s="136">
        <f t="shared" ref="B12:G12" si="2">B11/SUM(B10:B11,B13)</f>
        <v>6.2841497339772193E-2</v>
      </c>
      <c r="C12" s="136">
        <f t="shared" si="2"/>
        <v>6.9710576546628447E-2</v>
      </c>
      <c r="D12" s="136">
        <f t="shared" si="2"/>
        <v>6.7119080779852805E-2</v>
      </c>
      <c r="E12" s="136">
        <f t="shared" si="2"/>
        <v>7.5467383810708E-2</v>
      </c>
      <c r="F12" s="137">
        <f t="shared" si="2"/>
        <v>9.1387931429320071E-2</v>
      </c>
      <c r="G12" s="136">
        <f t="shared" si="2"/>
        <v>9.2344276047062926E-2</v>
      </c>
      <c r="H12" s="136">
        <f>H11/SUM(H10:H11,H13)</f>
        <v>9.2396366268865091E-2</v>
      </c>
      <c r="I12" s="136">
        <f>I11/SUM(I10:I11,I13)</f>
        <v>9.9319880131466975E-2</v>
      </c>
      <c r="J12" s="136">
        <f>J11/SUM(J10:J11,J13)</f>
        <v>9.457144746752745E-2</v>
      </c>
      <c r="K12" s="136">
        <f>K11/SUM(K10:K11,K13)</f>
        <v>0.10072530657842341</v>
      </c>
      <c r="L12" s="136">
        <f>L11/SUM(L10:L11,L13)</f>
        <v>0.11499999999999999</v>
      </c>
      <c r="M12" s="131"/>
      <c r="N12" s="1"/>
    </row>
    <row r="13" spans="1:14" x14ac:dyDescent="0.3">
      <c r="A13" s="1" t="s">
        <v>87</v>
      </c>
      <c r="B13" s="127">
        <f>SUM(Forecast_Main!H88:K88)/1000000</f>
        <v>0</v>
      </c>
      <c r="C13" s="127">
        <f>SUM(Forecast_Main!L88:O88)/1000000</f>
        <v>0.34025353196319624</v>
      </c>
      <c r="D13" s="127">
        <f>SUM(Forecast_Main!P88:S88)/1000000</f>
        <v>1.2074268249582727</v>
      </c>
      <c r="E13" s="127">
        <f>SUM(Forecast_Main!T88:W88)/1000000</f>
        <v>16.312447825385895</v>
      </c>
      <c r="F13" s="127">
        <f>SUM(Forecast_Main!X88:AA88)/1000000</f>
        <v>17.432597220295118</v>
      </c>
      <c r="G13" s="127">
        <f>SUM(Forecast_Main!AB88:AE88)/1000000</f>
        <v>9.7728360481002383</v>
      </c>
      <c r="H13" s="127">
        <f>SUM(Forecast_Main!AF88:AI88)/1000000</f>
        <v>46.628458878894364</v>
      </c>
      <c r="I13" s="127">
        <f>SUM(Forecast_Main!AJ88:AM88)/1000000</f>
        <v>126.2481544844664</v>
      </c>
      <c r="J13" s="127">
        <f>SUM(Forecast_Main!AN88:AQ88)/1000000</f>
        <v>169.87998344953371</v>
      </c>
      <c r="K13" s="127">
        <f>SUM(Forecast_Main!AR88:AU88)/1000000</f>
        <v>139.26788991317142</v>
      </c>
      <c r="L13" s="127">
        <f>SUM(Forecast_Main!AV88:AY88)/1000000</f>
        <v>197.79270108184758</v>
      </c>
      <c r="M13" s="127"/>
      <c r="N13" s="5">
        <f>(L13/J13)^(1/2)-1</f>
        <v>7.9031257701056123E-2</v>
      </c>
    </row>
    <row r="14" spans="1:14" x14ac:dyDescent="0.3">
      <c r="A14" s="135" t="s">
        <v>131</v>
      </c>
      <c r="B14" s="136">
        <f t="shared" ref="B14:G14" si="3">B13/SUM(B10:B11,B13)</f>
        <v>0</v>
      </c>
      <c r="C14" s="136">
        <f t="shared" si="3"/>
        <v>4.6338972742057574E-4</v>
      </c>
      <c r="D14" s="136">
        <f t="shared" si="3"/>
        <v>1.5693184621980369E-3</v>
      </c>
      <c r="E14" s="136">
        <f t="shared" si="3"/>
        <v>2.0489169184393329E-2</v>
      </c>
      <c r="F14" s="137">
        <f t="shared" si="3"/>
        <v>2.3250961984657918E-2</v>
      </c>
      <c r="G14" s="136">
        <f t="shared" si="3"/>
        <v>1.1902592343944696E-2</v>
      </c>
      <c r="H14" s="136">
        <f>H13/SUM(H10:H11,H13)</f>
        <v>5.2776736043238924E-2</v>
      </c>
      <c r="I14" s="136">
        <f>I13/SUM(I10:I11,I13)</f>
        <v>0.15899601259558804</v>
      </c>
      <c r="J14" s="136">
        <f>J13/SUM(J10:J11,J13)</f>
        <v>0.20459467691319541</v>
      </c>
      <c r="K14" s="136">
        <f>K13/SUM(K10:K11,K13)</f>
        <v>0.17551730441059665</v>
      </c>
      <c r="L14" s="136">
        <f>L13/SUM(L10:L11,L13)</f>
        <v>0.25000000000000006</v>
      </c>
      <c r="M14" s="131"/>
      <c r="N14" s="1"/>
    </row>
    <row r="15" spans="1:14" ht="15" thickBot="1" x14ac:dyDescent="0.35">
      <c r="A15" s="55" t="s">
        <v>88</v>
      </c>
      <c r="B15" s="129">
        <f t="shared" ref="B15:G15" si="4">SUM(B10,B11,B13)</f>
        <v>756.42807399999992</v>
      </c>
      <c r="C15" s="129">
        <f t="shared" si="4"/>
        <v>734.27076999999997</v>
      </c>
      <c r="D15" s="129">
        <f t="shared" si="4"/>
        <v>769.39566699999989</v>
      </c>
      <c r="E15" s="129">
        <f t="shared" si="4"/>
        <v>796.14979399999993</v>
      </c>
      <c r="F15" s="129">
        <f t="shared" si="4"/>
        <v>749.75810599999988</v>
      </c>
      <c r="G15" s="129">
        <f t="shared" si="4"/>
        <v>821.06786199999988</v>
      </c>
      <c r="H15" s="129">
        <f>SUM(H10,H11,H13)</f>
        <v>883.50402799999983</v>
      </c>
      <c r="I15" s="129">
        <f>SUM(I10,I11,I13)</f>
        <v>794.03346299999998</v>
      </c>
      <c r="J15" s="129">
        <f>SUM(J10,J11,J13)</f>
        <v>830.32455199999993</v>
      </c>
      <c r="K15" s="129">
        <f>SUM(K10,K11,K13)</f>
        <v>793.47099353448868</v>
      </c>
      <c r="L15" s="129">
        <f>SUM(L10,L11,L13)</f>
        <v>791.17080432739021</v>
      </c>
      <c r="M15" s="127"/>
      <c r="N15" s="130">
        <f>(L15/J15)^(1/2)-1</f>
        <v>-2.386207491430381E-2</v>
      </c>
    </row>
    <row r="16" spans="1:14" ht="9.75" customHeight="1" x14ac:dyDescent="0.3">
      <c r="A16" s="1"/>
      <c r="B16" s="1"/>
      <c r="C16" s="1"/>
      <c r="D16" s="1"/>
      <c r="E16" s="1"/>
      <c r="F16" s="1"/>
      <c r="G16" s="1"/>
      <c r="H16" s="1"/>
      <c r="I16" s="1"/>
      <c r="J16" s="1"/>
      <c r="K16" s="1"/>
      <c r="L16" s="1"/>
      <c r="M16" s="1"/>
      <c r="N16" s="1"/>
    </row>
    <row r="17" spans="1:15" x14ac:dyDescent="0.3">
      <c r="A17" s="1" t="s">
        <v>132</v>
      </c>
      <c r="B17" s="127">
        <f>SUM(Forecast_Main!H96:K96)/1000000</f>
        <v>1.2597424871843061</v>
      </c>
      <c r="C17" s="127">
        <f>SUM(Forecast_Main!L96:O96)/1000000</f>
        <v>1.5615763553233182</v>
      </c>
      <c r="D17" s="127">
        <f>SUM(Forecast_Main!P96:S96)/1000000</f>
        <v>2.1265115303723059</v>
      </c>
      <c r="E17" s="127">
        <f>SUM(Forecast_Main!T96:W96)/1000000</f>
        <v>2.7896110137165251</v>
      </c>
      <c r="F17" s="127">
        <f>SUM(Forecast_Main!X96:AA96)/1000000</f>
        <v>3.2595841319399086</v>
      </c>
      <c r="G17" s="127">
        <f>SUM(Forecast_Main!AB96:AE96)/1000000</f>
        <v>4.6812059222730236</v>
      </c>
      <c r="H17" s="127">
        <f>SUM(Forecast_Main!AF96:AI96)/1000000</f>
        <v>6.9076645094709344</v>
      </c>
      <c r="I17" s="127">
        <f>SUM(Forecast_Main!AJ96:AM96)/1000000</f>
        <v>9.0935769999999998</v>
      </c>
      <c r="J17" s="127" cm="1">
        <f t="array" ref="J17">SUM(Forecast_Main!AN96:AQ96/1000000)</f>
        <v>11.267143000000001</v>
      </c>
      <c r="K17" s="127" cm="1">
        <f t="array" ref="K17">SUM(Forecast_Main!AR96:AU96/1000000)</f>
        <v>14.125187727781967</v>
      </c>
      <c r="L17" s="127" cm="1">
        <f t="array" ref="L17">SUM(Forecast_Main!AV96:AY96/1000000)</f>
        <v>18.665600132347226</v>
      </c>
      <c r="M17" s="127"/>
      <c r="N17" s="5">
        <f>(L17/J17)^(1/2)-1</f>
        <v>0.28710529146402863</v>
      </c>
    </row>
    <row r="18" spans="1:15" x14ac:dyDescent="0.3">
      <c r="A18" s="1" t="s">
        <v>133</v>
      </c>
      <c r="B18" s="127">
        <f>SUM(Forecast_Main!H102:K102)/1000000</f>
        <v>0</v>
      </c>
      <c r="C18" s="127">
        <f>SUM(Forecast_Main!L102:O102)/1000000</f>
        <v>0</v>
      </c>
      <c r="D18" s="127">
        <f>SUM(Forecast_Main!P102:S102)/1000000</f>
        <v>1.727786</v>
      </c>
      <c r="E18" s="127">
        <f>SUM(Forecast_Main!T102:W102)/1000000</f>
        <v>2.2205819999999998</v>
      </c>
      <c r="F18" s="127">
        <f>SUM(Forecast_Main!X102:AA102)/1000000</f>
        <v>3.2340559999999998</v>
      </c>
      <c r="G18" s="127">
        <f>SUM(Forecast_Main!AB102:AE102)/1000000</f>
        <v>4.9761439999999997</v>
      </c>
      <c r="H18" s="127">
        <f>SUM(Forecast_Main!AF102:AI102)/1000000</f>
        <v>6.3405370000000003</v>
      </c>
      <c r="I18" s="127">
        <f>SUM(Forecast_Main!AJ102:AM102)/1000000</f>
        <v>4.3220109999999998</v>
      </c>
      <c r="J18" s="127" cm="1">
        <f t="array" ref="J18">SUM(Forecast_Main!AN102:AQ102/1000000)</f>
        <v>4.1445220000000003</v>
      </c>
      <c r="K18" s="127" cm="1">
        <f t="array" ref="K18">SUM(Forecast_Main!AR102:AU102/1000000)</f>
        <v>4.5589742000000006</v>
      </c>
      <c r="L18" s="127" cm="1">
        <f t="array" ref="L18">SUM(Forecast_Main!AV102:AY102/1000000)</f>
        <v>5.2428203300000007</v>
      </c>
      <c r="M18" s="127"/>
      <c r="N18" s="5">
        <f>(L18/J18)^(1/2)-1</f>
        <v>0.1247221879201994</v>
      </c>
    </row>
    <row r="19" spans="1:15" ht="9.75" customHeight="1" x14ac:dyDescent="0.3">
      <c r="A19" s="1"/>
      <c r="B19" s="1"/>
      <c r="C19" s="1"/>
      <c r="D19" s="1"/>
      <c r="E19" s="1"/>
      <c r="F19" s="1"/>
      <c r="G19" s="1"/>
      <c r="H19" s="1"/>
      <c r="I19" s="1"/>
      <c r="J19" s="1"/>
      <c r="K19" s="1"/>
      <c r="L19" s="1"/>
      <c r="M19" s="1"/>
      <c r="N19" s="1"/>
    </row>
    <row r="20" spans="1:15" x14ac:dyDescent="0.3">
      <c r="A20" s="1" t="s">
        <v>134</v>
      </c>
      <c r="B20" s="127">
        <f>SUM(Forecast_Main!H105:K105)/1000000</f>
        <v>0.59762800000000005</v>
      </c>
      <c r="C20" s="127">
        <f>SUM(Forecast_Main!L105:O105)/1000000</f>
        <v>0.91356499999999996</v>
      </c>
      <c r="D20" s="127">
        <f>SUM(Forecast_Main!P105:S105)/1000000</f>
        <v>1.3719650000000001</v>
      </c>
      <c r="E20" s="127">
        <f>SUM(Forecast_Main!T105:W105)/1000000</f>
        <v>1.08978</v>
      </c>
      <c r="F20" s="127">
        <f>SUM(Forecast_Main!X105:AA105)/1000000</f>
        <v>0.37100100000000003</v>
      </c>
      <c r="G20" s="127">
        <f>SUM(Forecast_Main!AB105:AE105)/1000000</f>
        <v>0.32716699999999999</v>
      </c>
      <c r="H20" s="127">
        <f>SUM(Forecast_Main!AF105:AI105)/1000000</f>
        <v>0.23851600000000001</v>
      </c>
      <c r="I20" s="127">
        <f>SUM(Forecast_Main!AJ105:AM105)/1000000</f>
        <v>3.6575000000000003E-2</v>
      </c>
      <c r="J20" s="127" cm="1">
        <f t="array" ref="J20">SUM(Forecast_Main!AN105:AQ105/1000000)</f>
        <v>1.7132999999999999E-2</v>
      </c>
      <c r="K20" s="127" cm="1">
        <f t="array" ref="K20">SUM(Forecast_Main!AR105:AU105/1000000)</f>
        <v>3.4721294600000022E-2</v>
      </c>
      <c r="L20" s="127" cm="1">
        <f t="array" ref="L20">SUM(Forecast_Main!AV105:AY105/1000000)</f>
        <v>4.2117466661000046E-2</v>
      </c>
      <c r="M20" s="127"/>
      <c r="N20" s="5">
        <f>(L20/J20)^(1/2)-1</f>
        <v>0.56788574988210239</v>
      </c>
    </row>
    <row r="21" spans="1:15" x14ac:dyDescent="0.3">
      <c r="A21" s="1" t="s">
        <v>117</v>
      </c>
      <c r="B21" s="127">
        <f>SUM(Forecast_Main!H106:K106)/1000000</f>
        <v>0.914605</v>
      </c>
      <c r="C21" s="127">
        <f>SUM(Forecast_Main!L106:O106)/1000000</f>
        <v>1.8612690000000001</v>
      </c>
      <c r="D21" s="127">
        <f>SUM(Forecast_Main!P106:S106)/1000000</f>
        <v>1.7193339999999999</v>
      </c>
      <c r="E21" s="127">
        <f>SUM(Forecast_Main!T106:W106)/1000000</f>
        <v>2.2240630000000001</v>
      </c>
      <c r="F21" s="127">
        <f>SUM(Forecast_Main!X106:AA106)/1000000</f>
        <v>2.9193410000000002</v>
      </c>
      <c r="G21" s="127">
        <f>SUM(Forecast_Main!AB106:AE106)/1000000</f>
        <v>3.4838360000000002</v>
      </c>
      <c r="H21" s="127">
        <f>SUM(Forecast_Main!AF106:AI106)/1000000</f>
        <v>3.7197719999999999</v>
      </c>
      <c r="I21" s="127">
        <f>SUM(Forecast_Main!AJ106:AM106)/1000000</f>
        <v>3.9234460000000002</v>
      </c>
      <c r="J21" s="127" cm="1">
        <f t="array" ref="J21">SUM(Forecast_Main!AN106:AQ106/1000000)</f>
        <v>3.9288419999999995</v>
      </c>
      <c r="K21" s="127" cm="1">
        <f t="array" ref="K21">SUM(Forecast_Main!AR106:AU106/1000000)</f>
        <v>4.0437551653999995</v>
      </c>
      <c r="L21" s="127" cm="1">
        <f t="array" ref="L21">SUM(Forecast_Main!AV106:AY106/1000000)</f>
        <v>4.1696291994389991</v>
      </c>
      <c r="M21" s="127"/>
      <c r="N21" s="5">
        <f>(L21/J21)^(1/2)-1</f>
        <v>3.0187879040778132E-2</v>
      </c>
    </row>
    <row r="22" spans="1:15" x14ac:dyDescent="0.3">
      <c r="A22" s="135" t="s">
        <v>135</v>
      </c>
      <c r="B22" s="136">
        <f t="shared" ref="B22:G22" si="5">B21/SUM(B20:B21)</f>
        <v>0.60480428611199455</v>
      </c>
      <c r="C22" s="136">
        <f t="shared" si="5"/>
        <v>0.67076769277008996</v>
      </c>
      <c r="D22" s="136">
        <f t="shared" si="5"/>
        <v>0.55618495655062805</v>
      </c>
      <c r="E22" s="136">
        <f t="shared" si="5"/>
        <v>0.67114314106009243</v>
      </c>
      <c r="F22" s="137">
        <f t="shared" si="5"/>
        <v>0.88724545959052281</v>
      </c>
      <c r="G22" s="136">
        <f t="shared" si="5"/>
        <v>0.91415199620677279</v>
      </c>
      <c r="H22" s="136">
        <f>H21/SUM(H20:H21)</f>
        <v>0.93974263621040199</v>
      </c>
      <c r="I22" s="136">
        <f>I21/SUM(I20:I21)</f>
        <v>0.99076393786800621</v>
      </c>
      <c r="J22" s="136">
        <f>J21/SUM(J20:J21)</f>
        <v>0.99565810731188109</v>
      </c>
      <c r="K22" s="136">
        <f>K21/SUM(K20:K21)</f>
        <v>0.99148669976631432</v>
      </c>
      <c r="L22" s="136">
        <f>L21/SUM(L20:L21)</f>
        <v>0.99</v>
      </c>
      <c r="M22" s="131"/>
      <c r="N22" s="1"/>
    </row>
    <row r="23" spans="1:15" ht="15" thickBot="1" x14ac:dyDescent="0.35">
      <c r="A23" s="55" t="s">
        <v>136</v>
      </c>
      <c r="B23" s="129">
        <f t="shared" ref="B23:G23" si="6">SUM(B20:B21)</f>
        <v>1.5122330000000002</v>
      </c>
      <c r="C23" s="129">
        <f t="shared" si="6"/>
        <v>2.7748340000000002</v>
      </c>
      <c r="D23" s="129">
        <f t="shared" si="6"/>
        <v>3.0912990000000002</v>
      </c>
      <c r="E23" s="129">
        <f t="shared" si="6"/>
        <v>3.3138430000000003</v>
      </c>
      <c r="F23" s="129">
        <f t="shared" si="6"/>
        <v>3.2903420000000003</v>
      </c>
      <c r="G23" s="129">
        <f t="shared" si="6"/>
        <v>3.8110030000000004</v>
      </c>
      <c r="H23" s="129">
        <f>SUM(H20:H21)</f>
        <v>3.958288</v>
      </c>
      <c r="I23" s="129">
        <f>SUM(I20:I21)</f>
        <v>3.9600210000000002</v>
      </c>
      <c r="J23" s="129">
        <f>SUM(J20:J21)</f>
        <v>3.9459749999999993</v>
      </c>
      <c r="K23" s="129">
        <f>SUM(K20:K21)</f>
        <v>4.0784764599999992</v>
      </c>
      <c r="L23" s="129">
        <f>SUM(L20:L21)</f>
        <v>4.2117466660999989</v>
      </c>
      <c r="M23" s="127"/>
      <c r="N23" s="130">
        <f>(L23/J23)^(1/2)-1</f>
        <v>3.3127580478616414E-2</v>
      </c>
    </row>
    <row r="24" spans="1:15" x14ac:dyDescent="0.3">
      <c r="A24" s="132"/>
      <c r="B24" s="132"/>
      <c r="C24" s="132"/>
      <c r="D24" s="132"/>
      <c r="E24" s="1"/>
      <c r="F24" s="1"/>
      <c r="G24" s="1"/>
      <c r="H24" s="1"/>
      <c r="I24" s="1"/>
      <c r="J24" s="1"/>
      <c r="K24" s="1"/>
      <c r="L24" s="1"/>
      <c r="M24" s="1"/>
      <c r="N24" s="1"/>
    </row>
    <row r="25" spans="1:15" x14ac:dyDescent="0.3">
      <c r="A25" s="132" t="s">
        <v>99</v>
      </c>
      <c r="B25" s="132"/>
      <c r="C25" s="132"/>
      <c r="D25" s="132"/>
      <c r="E25" s="1"/>
      <c r="F25" s="1"/>
      <c r="G25" s="127">
        <f>SUM(Forecast_Main!AB111:AE111)/1000000</f>
        <v>1.7465740000000001</v>
      </c>
      <c r="H25" s="127">
        <f>SUM(Forecast_Main!AF111:AI111)/1000000</f>
        <v>2.5652059999999999</v>
      </c>
      <c r="I25" s="127">
        <f>SUM(Forecast_Main!AJ111:AM111)/1000000</f>
        <v>2.5349970000000002</v>
      </c>
      <c r="J25" s="127">
        <f>SUM(Forecast_Main!AN111:AQ111)/1000000</f>
        <v>2.6223939999999999</v>
      </c>
      <c r="K25" s="127">
        <f>SUM(Forecast_Main!AR111:AU111)/1000000</f>
        <v>2.8799183657799001</v>
      </c>
      <c r="L25" s="127">
        <f>SUM(Forecast_Main!AV111:AY111)/1000000</f>
        <v>3.0706043621952324</v>
      </c>
      <c r="M25" s="1"/>
      <c r="N25" s="5">
        <f>(L25/J25)^(1/2)-1</f>
        <v>8.208894459745486E-2</v>
      </c>
    </row>
    <row r="26" spans="1:15" x14ac:dyDescent="0.3">
      <c r="A26" s="132" t="s">
        <v>137</v>
      </c>
      <c r="B26" s="132"/>
      <c r="C26" s="132"/>
      <c r="D26" s="132"/>
      <c r="E26" s="1"/>
      <c r="F26" s="1"/>
      <c r="G26" s="127">
        <f>SUM(Forecast_Main!AB112:AE112)/1000000</f>
        <v>0.69748299999999996</v>
      </c>
      <c r="H26" s="127">
        <f>SUM(Forecast_Main!AF112:AI112)/1000000</f>
        <v>0.670242</v>
      </c>
      <c r="I26" s="127">
        <f>SUM(Forecast_Main!AJ112:AM112)/1000000</f>
        <v>0.74124999999999996</v>
      </c>
      <c r="J26" s="127">
        <f>SUM(Forecast_Main!AN112:AQ112)/1000000</f>
        <v>0</v>
      </c>
      <c r="K26" s="127">
        <f>SUM(Forecast_Main!AR112:AU112)/1000000</f>
        <v>0.51480859144497504</v>
      </c>
      <c r="L26" s="127">
        <f>SUM(Forecast_Main!AV112:AY112)/1000000</f>
        <v>1.0235347873984109</v>
      </c>
      <c r="M26" s="1"/>
      <c r="N26" s="5"/>
      <c r="O26" s="197" t="s">
        <v>138</v>
      </c>
    </row>
    <row r="27" spans="1:15" x14ac:dyDescent="0.3">
      <c r="A27" s="135" t="s">
        <v>139</v>
      </c>
      <c r="B27" s="136" t="e">
        <f t="shared" ref="B27:G27" si="7">B26/SUM(B25:B26)</f>
        <v>#DIV/0!</v>
      </c>
      <c r="C27" s="136" t="e">
        <f t="shared" si="7"/>
        <v>#DIV/0!</v>
      </c>
      <c r="D27" s="136" t="e">
        <f t="shared" si="7"/>
        <v>#DIV/0!</v>
      </c>
      <c r="E27" s="136" t="e">
        <f t="shared" si="7"/>
        <v>#DIV/0!</v>
      </c>
      <c r="F27" s="137" t="e">
        <f t="shared" si="7"/>
        <v>#DIV/0!</v>
      </c>
      <c r="G27" s="136">
        <f t="shared" si="7"/>
        <v>0.28537918714661725</v>
      </c>
      <c r="H27" s="136">
        <f>H26/SUM(H25:H26)</f>
        <v>0.20715585600510347</v>
      </c>
      <c r="I27" s="136">
        <f>I26/SUM(I25:I26)</f>
        <v>0.22624973025538062</v>
      </c>
      <c r="J27" s="136">
        <f>J26/SUM(J25:J26)</f>
        <v>0</v>
      </c>
      <c r="K27" s="136">
        <f>K26/SUM(K25:K26)</f>
        <v>0.1516494840179492</v>
      </c>
      <c r="L27" s="136">
        <f>L26/SUM(L25:L26)</f>
        <v>0.25</v>
      </c>
      <c r="M27" s="1"/>
      <c r="N27" s="5"/>
    </row>
    <row r="28" spans="1:15" ht="15" thickBot="1" x14ac:dyDescent="0.35">
      <c r="A28" s="133" t="s">
        <v>140</v>
      </c>
      <c r="B28" s="129">
        <f>SUM(Forecast_Main!H111:K111)/1000000</f>
        <v>6.5049999999999997E-2</v>
      </c>
      <c r="C28" s="129">
        <f>SUM(Forecast_Main!L111:O111)/1000000</f>
        <v>0.12829099999999999</v>
      </c>
      <c r="D28" s="129">
        <f>SUM(Forecast_Main!P111:S111)/1000000</f>
        <v>0.71056399999999997</v>
      </c>
      <c r="E28" s="129">
        <f>SUM(Forecast_Main!T111:W111)/1000000</f>
        <v>1.211368</v>
      </c>
      <c r="F28" s="129">
        <f>SUM(Forecast_Main!X114:AA114)/1000000</f>
        <v>1.475168</v>
      </c>
      <c r="G28" s="129">
        <f t="shared" ref="G28:L28" si="8">SUM(G25:G26)</f>
        <v>2.4440569999999999</v>
      </c>
      <c r="H28" s="129">
        <f t="shared" si="8"/>
        <v>3.2354479999999999</v>
      </c>
      <c r="I28" s="129">
        <f t="shared" si="8"/>
        <v>3.2762470000000001</v>
      </c>
      <c r="J28" s="129">
        <f t="shared" si="8"/>
        <v>2.6223939999999999</v>
      </c>
      <c r="K28" s="129">
        <f t="shared" si="8"/>
        <v>3.3947269572248753</v>
      </c>
      <c r="L28" s="129">
        <f t="shared" si="8"/>
        <v>4.0941391495936434</v>
      </c>
      <c r="M28" s="127"/>
      <c r="N28" s="130">
        <f>(L28/J28)^(1/2)-1</f>
        <v>0.24948868690091719</v>
      </c>
    </row>
    <row r="29" spans="1:15" ht="6" customHeight="1" x14ac:dyDescent="0.3">
      <c r="A29" s="134"/>
      <c r="B29" s="134"/>
      <c r="C29" s="134"/>
      <c r="D29" s="134"/>
      <c r="E29" s="127"/>
      <c r="F29" s="127"/>
      <c r="G29" s="127"/>
      <c r="H29" s="127"/>
      <c r="I29" s="127"/>
      <c r="J29" s="127"/>
      <c r="K29" s="127"/>
      <c r="L29" s="127"/>
      <c r="M29" s="127"/>
      <c r="N29" s="1"/>
    </row>
    <row r="30" spans="1:15" ht="39.75" customHeight="1" x14ac:dyDescent="0.3">
      <c r="A30" s="214" t="s">
        <v>141</v>
      </c>
      <c r="B30" s="214"/>
      <c r="C30" s="214"/>
      <c r="D30" s="214"/>
      <c r="E30" s="214"/>
      <c r="F30" s="214"/>
      <c r="G30" s="214"/>
      <c r="H30" s="214"/>
      <c r="I30" s="214"/>
      <c r="J30" s="214"/>
      <c r="K30" s="214"/>
      <c r="L30" s="214"/>
      <c r="M30" s="214"/>
      <c r="N30" s="214"/>
    </row>
    <row r="31" spans="1:15" x14ac:dyDescent="0.3">
      <c r="D31" s="24"/>
    </row>
  </sheetData>
  <mergeCells count="2">
    <mergeCell ref="A2:N2"/>
    <mergeCell ref="A30:N3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51"/>
  <sheetViews>
    <sheetView tabSelected="1" zoomScaleNormal="100" workbookViewId="0">
      <pane xSplit="2" ySplit="2" topLeftCell="H21" activePane="bottomRight" state="frozen"/>
      <selection pane="topRight" activeCell="C1" sqref="C1"/>
      <selection pane="bottomLeft" activeCell="A3" sqref="A3"/>
      <selection pane="bottomRight" activeCell="B43" sqref="B43"/>
    </sheetView>
  </sheetViews>
  <sheetFormatPr defaultRowHeight="14.4" x14ac:dyDescent="0.3"/>
  <cols>
    <col min="1" max="1" width="10.33203125" customWidth="1"/>
    <col min="2" max="2" width="12.109375" customWidth="1"/>
    <col min="3" max="3" width="13.44140625" hidden="1" customWidth="1"/>
    <col min="4" max="5" width="11.21875" hidden="1" customWidth="1"/>
    <col min="6" max="8" width="13.44140625" customWidth="1"/>
    <col min="9" max="9" width="16.33203125" customWidth="1"/>
    <col min="10" max="13" width="13.44140625" customWidth="1"/>
    <col min="14" max="16" width="12.44140625" customWidth="1"/>
    <col min="17" max="17" width="9.88671875" bestFit="1" customWidth="1"/>
    <col min="18" max="50" width="11" customWidth="1"/>
  </cols>
  <sheetData>
    <row r="1" spans="1:29" ht="15" thickBot="1" x14ac:dyDescent="0.35">
      <c r="A1" t="s">
        <v>142</v>
      </c>
      <c r="T1" s="85">
        <v>0.95</v>
      </c>
      <c r="V1" s="86">
        <v>0.97</v>
      </c>
    </row>
    <row r="2" spans="1:29" ht="23.4" x14ac:dyDescent="0.45">
      <c r="A2" s="216" t="s">
        <v>143</v>
      </c>
      <c r="B2" s="216"/>
      <c r="C2" s="216"/>
      <c r="D2" s="216"/>
      <c r="E2" s="216"/>
      <c r="F2" s="216"/>
      <c r="G2" s="216"/>
      <c r="H2" s="184"/>
      <c r="I2" s="215" t="s">
        <v>144</v>
      </c>
      <c r="J2" s="215"/>
      <c r="K2" s="215"/>
      <c r="L2" s="215"/>
      <c r="M2" s="215"/>
      <c r="N2" s="215"/>
      <c r="O2" s="215"/>
      <c r="P2" s="215"/>
      <c r="Q2" s="215"/>
    </row>
    <row r="3" spans="1:29" ht="21.6" thickBot="1" x14ac:dyDescent="0.45">
      <c r="A3" s="143"/>
      <c r="B3" s="143"/>
      <c r="C3" s="143">
        <v>2022</v>
      </c>
      <c r="D3" s="143">
        <v>2023</v>
      </c>
      <c r="E3" s="143">
        <v>2024</v>
      </c>
      <c r="F3" s="143" t="s">
        <v>126</v>
      </c>
      <c r="G3" s="143" t="s">
        <v>127</v>
      </c>
      <c r="H3" s="185"/>
      <c r="J3" s="18">
        <v>2016</v>
      </c>
      <c r="K3" s="18">
        <v>2017</v>
      </c>
      <c r="L3" s="18">
        <v>2018</v>
      </c>
      <c r="M3" s="18">
        <v>2019</v>
      </c>
      <c r="N3" s="53">
        <v>2020</v>
      </c>
      <c r="O3" s="53">
        <v>2021</v>
      </c>
      <c r="P3" s="53">
        <v>2022</v>
      </c>
      <c r="Q3" s="53">
        <v>2023</v>
      </c>
      <c r="R3" s="53">
        <v>2024</v>
      </c>
      <c r="S3" s="53" t="s">
        <v>126</v>
      </c>
      <c r="T3" s="53" t="s">
        <v>127</v>
      </c>
      <c r="U3" s="56" t="s">
        <v>145</v>
      </c>
      <c r="V3" s="56" t="s">
        <v>146</v>
      </c>
      <c r="W3" s="56" t="s">
        <v>147</v>
      </c>
      <c r="X3" s="56" t="s">
        <v>148</v>
      </c>
      <c r="Y3" s="56" t="s">
        <v>149</v>
      </c>
      <c r="Z3" s="56" t="s">
        <v>150</v>
      </c>
      <c r="AA3" s="56" t="s">
        <v>151</v>
      </c>
      <c r="AB3" s="56" t="s">
        <v>152</v>
      </c>
      <c r="AC3" s="56" t="s">
        <v>153</v>
      </c>
    </row>
    <row r="4" spans="1:29" x14ac:dyDescent="0.3">
      <c r="A4" s="151" t="s">
        <v>103</v>
      </c>
      <c r="B4" s="1" t="s">
        <v>12</v>
      </c>
      <c r="C4" s="121">
        <f>SUM(Forecast_Main!AF119:AI119)</f>
        <v>-1211031.3</v>
      </c>
      <c r="D4" s="121">
        <f>SUM(Forecast_Main!AJ119:AM119)</f>
        <v>-1411010.8</v>
      </c>
      <c r="E4" s="121">
        <f>SUM(Forecast_Main!AN119:AQ119)</f>
        <v>-1676427.2999999998</v>
      </c>
      <c r="F4" s="121">
        <f>SUM(Forecast_Main!AR119:AU119)</f>
        <v>-1985160.0371038257</v>
      </c>
      <c r="G4" s="121">
        <f>SUM(Forecast_Main!AV119:AY119)</f>
        <v>-2165591.7312555066</v>
      </c>
      <c r="H4" s="121"/>
      <c r="I4" s="2" t="s">
        <v>12</v>
      </c>
      <c r="J4" s="9">
        <f>SUM(Forecast_Main!H119:K119)</f>
        <v>-390550.7</v>
      </c>
      <c r="K4" s="9">
        <f>SUM(Forecast_Main!L119:O119)</f>
        <v>-423554.5</v>
      </c>
      <c r="L4" s="9">
        <f>SUM(Forecast_Main!P119:S119)</f>
        <v>-569040.6</v>
      </c>
      <c r="M4" s="9">
        <f>SUM(Forecast_Main!T119:W119)</f>
        <v>-665204.5</v>
      </c>
      <c r="N4" s="9">
        <f>SUM(Forecast_Main!X119:AA119)</f>
        <v>-742480.4</v>
      </c>
      <c r="O4" s="9">
        <f>SUM(Forecast_Main!AB119:AE119)</f>
        <v>-955168.5</v>
      </c>
      <c r="P4" s="9">
        <f>SUM(Forecast_Main!AF119:AI119)</f>
        <v>-1211031.3</v>
      </c>
      <c r="Q4" s="9">
        <f>SUM(Forecast_Main!AJ119:AM119)</f>
        <v>-1411010.8</v>
      </c>
      <c r="R4" s="9">
        <f>SUM(Forecast_Main!AN119:AQ119)</f>
        <v>-1676427.2999999998</v>
      </c>
      <c r="S4" s="9">
        <f>SUM(Forecast_Main!AR119:AU119)</f>
        <v>-1985160.0371038257</v>
      </c>
      <c r="T4" s="9">
        <f>SUM(Forecast_Main!AV119:AY119)</f>
        <v>-2165591.7312555066</v>
      </c>
      <c r="U4" s="57">
        <f t="shared" ref="U4:AC4" si="0">T4*(1+((T4/S4)^($T$1)-1))</f>
        <v>-2352169.3799085412</v>
      </c>
      <c r="V4" s="57">
        <f t="shared" si="0"/>
        <v>-2544286.4165253323</v>
      </c>
      <c r="W4" s="57">
        <f t="shared" si="0"/>
        <v>-2741312.4353330196</v>
      </c>
      <c r="X4" s="57">
        <f t="shared" si="0"/>
        <v>-2942601.4603478746</v>
      </c>
      <c r="Y4" s="57">
        <f t="shared" si="0"/>
        <v>-3147499.7962718145</v>
      </c>
      <c r="Z4" s="57">
        <f t="shared" si="0"/>
        <v>-3355353.3482601759</v>
      </c>
      <c r="AA4" s="57">
        <f t="shared" si="0"/>
        <v>-3565514.3252424169</v>
      </c>
      <c r="AB4" s="57">
        <f t="shared" si="0"/>
        <v>-3777347.267496855</v>
      </c>
      <c r="AC4" s="57">
        <f t="shared" si="0"/>
        <v>-3990234.3629209828</v>
      </c>
    </row>
    <row r="5" spans="1:29" ht="15" thickBot="1" x14ac:dyDescent="0.35">
      <c r="A5" s="152"/>
      <c r="B5" s="144" t="s">
        <v>9</v>
      </c>
      <c r="C5" s="145">
        <f>SUM(Forecast_Main!AF120:AI120)</f>
        <v>-717778.04999999993</v>
      </c>
      <c r="D5" s="145">
        <f>SUM(Forecast_Main!AJ120:AM120)</f>
        <v>-689428.70000000007</v>
      </c>
      <c r="E5" s="145">
        <f>SUM(Forecast_Main!AN120:AQ120)</f>
        <v>-805334</v>
      </c>
      <c r="F5" s="145">
        <f>SUM(Forecast_Main!AR120:AU120)</f>
        <v>-922368.0330235681</v>
      </c>
      <c r="G5" s="145">
        <f>SUM(Forecast_Main!AV120:AY120)</f>
        <v>-980998.39017198829</v>
      </c>
      <c r="H5" s="121"/>
      <c r="I5" s="29" t="s">
        <v>9</v>
      </c>
      <c r="J5" s="9">
        <f>SUM(Forecast_Main!H120:K120)</f>
        <v>-204280.8</v>
      </c>
      <c r="K5" s="9">
        <f>SUM(Forecast_Main!L120:O120)</f>
        <v>-220817.80000000002</v>
      </c>
      <c r="L5" s="9">
        <f>SUM(Forecast_Main!P120:S120)</f>
        <v>-295869.55000000005</v>
      </c>
      <c r="M5" s="9">
        <f>SUM(Forecast_Main!T120:W120)</f>
        <v>-336842.75</v>
      </c>
      <c r="N5" s="9">
        <f>SUM(Forecast_Main!X120:AA120)</f>
        <v>-412055.75</v>
      </c>
      <c r="O5" s="9">
        <f>SUM(Forecast_Main!AB120:AE120)</f>
        <v>-552212.55000000005</v>
      </c>
      <c r="P5" s="9">
        <f>SUM(Forecast_Main!AF120:AI120)</f>
        <v>-717778.04999999993</v>
      </c>
      <c r="Q5" s="9">
        <f>SUM(Forecast_Main!AJ120:AM120)</f>
        <v>-689428.70000000007</v>
      </c>
      <c r="R5" s="9">
        <f>SUM(Forecast_Main!AN120:AQ120)</f>
        <v>-805334</v>
      </c>
      <c r="S5" s="9">
        <f>SUM(Forecast_Main!AR120:AU120)</f>
        <v>-922368.0330235681</v>
      </c>
      <c r="T5" s="9">
        <f>SUM(Forecast_Main!AV120:AY120)</f>
        <v>-980998.39017198829</v>
      </c>
      <c r="U5" s="57">
        <f t="shared" ref="U5:AC5" si="1">T5*(1+((T5/S5)^($T$1)-1))</f>
        <v>-1040145.6181021142</v>
      </c>
      <c r="V5" s="57">
        <f t="shared" si="1"/>
        <v>-1099635.3698323036</v>
      </c>
      <c r="W5" s="57">
        <f t="shared" si="1"/>
        <v>-1159299.1817718593</v>
      </c>
      <c r="X5" s="57">
        <f t="shared" si="1"/>
        <v>-1218975.6118530184</v>
      </c>
      <c r="Y5" s="57">
        <f t="shared" si="1"/>
        <v>-1278511.1790578021</v>
      </c>
      <c r="Z5" s="57">
        <f t="shared" si="1"/>
        <v>-1337761.1121589185</v>
      </c>
      <c r="AA5" s="57">
        <f t="shared" si="1"/>
        <v>-1396589.9183598435</v>
      </c>
      <c r="AB5" s="57">
        <f t="shared" si="1"/>
        <v>-1454871.7846536455</v>
      </c>
      <c r="AC5" s="57">
        <f t="shared" si="1"/>
        <v>-1512490.8261935953</v>
      </c>
    </row>
    <row r="6" spans="1:29" ht="15" thickBot="1" x14ac:dyDescent="0.35">
      <c r="A6" s="153" t="s">
        <v>104</v>
      </c>
      <c r="B6" s="139"/>
      <c r="C6" s="122">
        <f>SUM(C4:C5)</f>
        <v>-1928809.35</v>
      </c>
      <c r="D6" s="122">
        <f>SUM(D4:D5)</f>
        <v>-2100439.5</v>
      </c>
      <c r="E6" s="122">
        <f>SUM(E4:E5)</f>
        <v>-2481761.2999999998</v>
      </c>
      <c r="F6" s="122">
        <f>SUM(F4:F5)</f>
        <v>-2907528.0701273941</v>
      </c>
      <c r="G6" s="122">
        <f>SUM(G4:G5)</f>
        <v>-3146590.121427495</v>
      </c>
      <c r="H6" s="122"/>
      <c r="I6" s="32" t="s">
        <v>154</v>
      </c>
      <c r="J6" s="33">
        <f t="shared" ref="J6:O6" si="2">SUM(J4:J5)</f>
        <v>-594831.5</v>
      </c>
      <c r="K6" s="33">
        <f t="shared" si="2"/>
        <v>-644372.30000000005</v>
      </c>
      <c r="L6" s="33">
        <f t="shared" si="2"/>
        <v>-864910.15</v>
      </c>
      <c r="M6" s="33">
        <f t="shared" si="2"/>
        <v>-1002047.25</v>
      </c>
      <c r="N6" s="75">
        <f t="shared" si="2"/>
        <v>-1154536.1499999999</v>
      </c>
      <c r="O6" s="75">
        <f t="shared" si="2"/>
        <v>-1507381.05</v>
      </c>
      <c r="P6" s="75">
        <f t="shared" ref="P6:R6" si="3">SUM(P4:P5)</f>
        <v>-1928809.35</v>
      </c>
      <c r="Q6" s="75">
        <f t="shared" si="3"/>
        <v>-2100439.5</v>
      </c>
      <c r="R6" s="75">
        <f t="shared" si="3"/>
        <v>-2481761.2999999998</v>
      </c>
      <c r="S6" s="75">
        <f t="shared" ref="S6:T6" si="4">SUM(S4:S5)</f>
        <v>-2907528.0701273941</v>
      </c>
      <c r="T6" s="75">
        <f t="shared" si="4"/>
        <v>-3146590.121427495</v>
      </c>
      <c r="U6" s="58">
        <f t="shared" ref="U6:AC6" si="5">SUM(U4:U5)</f>
        <v>-3392314.9980106554</v>
      </c>
      <c r="V6" s="58">
        <f t="shared" si="5"/>
        <v>-3643921.7863576356</v>
      </c>
      <c r="W6" s="58">
        <f t="shared" si="5"/>
        <v>-3900611.6171048786</v>
      </c>
      <c r="X6" s="58">
        <f t="shared" si="5"/>
        <v>-4161577.072200893</v>
      </c>
      <c r="Y6" s="58">
        <f t="shared" si="5"/>
        <v>-4426010.975329617</v>
      </c>
      <c r="Z6" s="58">
        <f t="shared" si="5"/>
        <v>-4693114.4604190942</v>
      </c>
      <c r="AA6" s="58">
        <f t="shared" si="5"/>
        <v>-4962104.2436022609</v>
      </c>
      <c r="AB6" s="58">
        <f t="shared" si="5"/>
        <v>-5232219.0521505009</v>
      </c>
      <c r="AC6" s="58">
        <f t="shared" si="5"/>
        <v>-5502725.1891145781</v>
      </c>
    </row>
    <row r="7" spans="1:29" x14ac:dyDescent="0.3">
      <c r="A7" s="134"/>
      <c r="B7" s="1"/>
      <c r="C7" s="1"/>
      <c r="D7" s="140"/>
      <c r="E7" s="1"/>
      <c r="F7" s="1"/>
      <c r="G7" s="1"/>
      <c r="H7" s="1"/>
      <c r="I7" s="30"/>
      <c r="J7" s="9"/>
      <c r="K7" s="9"/>
      <c r="L7" s="9"/>
      <c r="M7" s="9"/>
      <c r="N7" s="9"/>
      <c r="O7" s="9"/>
      <c r="P7" s="9"/>
      <c r="Q7" s="9"/>
      <c r="R7" s="9"/>
      <c r="S7" s="9"/>
      <c r="T7" s="9"/>
    </row>
    <row r="8" spans="1:29" x14ac:dyDescent="0.3">
      <c r="A8" s="151" t="s">
        <v>105</v>
      </c>
      <c r="B8" s="1" t="s">
        <v>82</v>
      </c>
      <c r="C8" s="121">
        <f>SUM(Forecast_Main!AF123:AI123)</f>
        <v>507938.3</v>
      </c>
      <c r="D8" s="106">
        <f>SUM(Forecast_Main!AJ123:AM123)</f>
        <v>535403.80000000005</v>
      </c>
      <c r="E8" s="106">
        <f>SUM(Forecast_Main!AN123:AQ123)</f>
        <v>523181.3</v>
      </c>
      <c r="F8" s="106">
        <f>SUM(Forecast_Main!AR123:AU123)</f>
        <v>507013.30604409619</v>
      </c>
      <c r="G8" s="106">
        <f>SUM(Forecast_Main!AV123:AY123)</f>
        <v>464061.97822278441</v>
      </c>
      <c r="H8" s="106"/>
      <c r="I8" s="2" t="s">
        <v>82</v>
      </c>
      <c r="J8" s="9">
        <f>SUM(Forecast_Main!H123:K123)</f>
        <v>499938.7</v>
      </c>
      <c r="K8" s="9">
        <f>SUM(Forecast_Main!L123:O123)</f>
        <v>479677.5</v>
      </c>
      <c r="L8" s="9">
        <f>SUM(Forecast_Main!P123:S123)</f>
        <v>495127.6</v>
      </c>
      <c r="M8" s="9">
        <f>SUM(Forecast_Main!T123:W123)</f>
        <v>520845.49999999994</v>
      </c>
      <c r="N8" s="9">
        <f>SUM(Forecast_Main!X123:AA123)</f>
        <v>488181.4</v>
      </c>
      <c r="O8" s="9">
        <f>SUM(Forecast_Main!AB123:AE123)</f>
        <v>541634.5</v>
      </c>
      <c r="P8" s="9">
        <f>SUM(Forecast_Main!AF123:AI123)</f>
        <v>507938.3</v>
      </c>
      <c r="Q8" s="9">
        <f>SUM(Forecast_Main!AJ123:AM123)</f>
        <v>535403.80000000005</v>
      </c>
      <c r="R8" s="9">
        <f>SUM(Forecast_Main!AN123:AQ123)</f>
        <v>523181.3</v>
      </c>
      <c r="S8" s="9">
        <f>SUM(Forecast_Main!AR123:AU123)</f>
        <v>507013.30604409619</v>
      </c>
      <c r="T8" s="9">
        <f>SUM(Forecast_Main!AV123:AY123)</f>
        <v>464061.97822278441</v>
      </c>
      <c r="U8" s="57" cm="1">
        <f t="array" ref="U8">TREND(Q8:T8,Q$22:T$22,U$22)</f>
        <v>449866.73124483228</v>
      </c>
      <c r="V8" s="57" cm="1">
        <f t="array" ref="V8">TREND(R8:U8,R$22:U$22,V$22)</f>
        <v>420307.07035622746</v>
      </c>
      <c r="W8" s="57" cm="1">
        <f t="array" ref="W8">TREND(T8:V8,T$22:V$22,W$22)</f>
        <v>400990.35207472742</v>
      </c>
      <c r="X8" s="57" cm="1">
        <f t="array" ref="X8">TREND(T8:W8,T$22:W$22,X$22)</f>
        <v>379112.89814145118</v>
      </c>
      <c r="Y8" s="57" cm="1">
        <f t="array" ref="Y8">TREND(U8:X8,U$22:X$22,Y$22)</f>
        <v>354674.70855639875</v>
      </c>
      <c r="Z8" s="57" cm="1">
        <f t="array" ref="Z8">TREND(V8:Y8,V$22:Y$22,Z$22)</f>
        <v>334077.62244900316</v>
      </c>
      <c r="AA8" s="57" cm="1">
        <f t="array" ref="AA8">TREND(W8:Z8,W$22:Z$22,AA$22)</f>
        <v>310919.80068983883</v>
      </c>
      <c r="AB8" s="57" cm="1">
        <f t="array" ref="AB8">TREND(X8:AA8,X$22:AA$22,AB$22)</f>
        <v>288402.16284361482</v>
      </c>
      <c r="AC8" s="57" cm="1">
        <f t="array" ref="AC8">TREND(Y8:AB8,Y$22:AB$22,AC$22)</f>
        <v>266524.70891033858</v>
      </c>
    </row>
    <row r="9" spans="1:29" x14ac:dyDescent="0.3">
      <c r="A9" s="151"/>
      <c r="B9" s="1" t="s">
        <v>18</v>
      </c>
      <c r="C9" s="121">
        <f>SUM(Forecast_Main!AF124:AI124)</f>
        <v>543496.31953268964</v>
      </c>
      <c r="D9" s="106">
        <f>SUM(Forecast_Main!AJ124:AM124)</f>
        <v>474440.01885388501</v>
      </c>
      <c r="E9" s="106">
        <f>SUM(Forecast_Main!AN124:AQ124)</f>
        <v>462096.82215822954</v>
      </c>
      <c r="F9" s="106">
        <f>SUM(Forecast_Main!AR124:AU124)</f>
        <v>454644.17788600293</v>
      </c>
      <c r="G9" s="106">
        <f>SUM(Forecast_Main!AV124:AY124)</f>
        <v>549695.27269914898</v>
      </c>
      <c r="H9" s="106"/>
      <c r="I9" s="2" t="s">
        <v>18</v>
      </c>
      <c r="J9" s="9">
        <f>SUM(Forecast_Main!H124:K124)</f>
        <v>266455.8</v>
      </c>
      <c r="K9" s="9">
        <f>SUM(Forecast_Main!L124:O124)</f>
        <v>316596.46430223004</v>
      </c>
      <c r="L9" s="9">
        <f>SUM(Forecast_Main!P124:S124)</f>
        <v>351431.58135927643</v>
      </c>
      <c r="M9" s="9">
        <f>SUM(Forecast_Main!T124:W124)</f>
        <v>441049.24208143988</v>
      </c>
      <c r="N9" s="9">
        <f>SUM(Forecast_Main!X124:AA124)</f>
        <v>472519.15502775169</v>
      </c>
      <c r="O9" s="9">
        <f>SUM(Forecast_Main!AB124:AE124)</f>
        <v>517197.04070106975</v>
      </c>
      <c r="P9" s="9">
        <f>SUM(Forecast_Main!AF124:AI124)</f>
        <v>543496.31953268964</v>
      </c>
      <c r="Q9" s="9">
        <f>SUM(Forecast_Main!AJ124:AM124)</f>
        <v>474440.01885388501</v>
      </c>
      <c r="R9" s="9">
        <f>SUM(Forecast_Main!AN124:AQ124)</f>
        <v>462096.82215822954</v>
      </c>
      <c r="S9" s="9">
        <f>SUM(Forecast_Main!AR124:AU124)</f>
        <v>454644.17788600293</v>
      </c>
      <c r="T9" s="9">
        <f>SUM(Forecast_Main!AV124:AY124)</f>
        <v>549695.27269914898</v>
      </c>
      <c r="U9" s="57" cm="1">
        <f t="array" ref="U9">TREND(L9:T9,L$22:T$22,U$22)</f>
        <v>538249.78268774599</v>
      </c>
      <c r="V9" s="57" cm="1">
        <f t="array" ref="V9">TREND(M9:U9,M$22:U$22,V$22)</f>
        <v>529306.31121711992</v>
      </c>
      <c r="W9" s="57" cm="1">
        <f t="array" ref="W9">TREND(N9:V9,N$22:V$22,W$22)</f>
        <v>528202.95420283824</v>
      </c>
      <c r="X9" s="57" cm="1">
        <f t="array" ref="X9">TREND(O9:W9,O$22:W$22,X$22)</f>
        <v>528870.26726560947</v>
      </c>
      <c r="Y9" s="57" cm="1">
        <f t="array" ref="Y9">TREND(P9:X9,P$22:X$22,Y$22)</f>
        <v>538845.42349186912</v>
      </c>
      <c r="Z9" s="57" cm="1">
        <f t="array" ref="Z9">TREND(Q9:Y9,Q$22:Y$22,Z$22)</f>
        <v>560317.10435907915</v>
      </c>
      <c r="AA9" s="57" cm="1">
        <f t="array" ref="AA9">TREND(R9:Z9,R$22:Z$22,AA$22)</f>
        <v>570618.79285215959</v>
      </c>
      <c r="AB9" s="57" cm="1">
        <f t="array" ref="AB9">TREND(T9:AA9,T$22:AA$22,AB$22)</f>
        <v>558339.2689173799</v>
      </c>
      <c r="AC9" s="57" cm="1">
        <f t="array" ref="AC9">TREND(T9:AB9,T$22:AB$22,AC$22)</f>
        <v>561745.05343303178</v>
      </c>
    </row>
    <row r="10" spans="1:29" x14ac:dyDescent="0.3">
      <c r="A10" s="151"/>
      <c r="B10" s="1" t="s">
        <v>87</v>
      </c>
      <c r="C10" s="121">
        <f>SUM(Forecast_Main!AF125:AI125)</f>
        <v>333445.73046731029</v>
      </c>
      <c r="D10" s="106">
        <f>SUM(Forecast_Main!AJ125:AM125)</f>
        <v>958726.68114611483</v>
      </c>
      <c r="E10" s="106">
        <f>SUM(Forecast_Main!AN125:AQ125)</f>
        <v>1230245.1778417702</v>
      </c>
      <c r="F10" s="106">
        <f>SUM(Forecast_Main!AR125:AU125)</f>
        <v>985569.58431023941</v>
      </c>
      <c r="G10" s="106">
        <f>SUM(Forecast_Main!AV125:AY125)</f>
        <v>1369380.1853269662</v>
      </c>
      <c r="H10" s="106"/>
      <c r="I10" s="2" t="s">
        <v>87</v>
      </c>
      <c r="J10" s="9">
        <f>SUM(Forecast_Main!H125:K125)</f>
        <v>0</v>
      </c>
      <c r="K10" s="9">
        <f>SUM(Forecast_Main!L125:O125)</f>
        <v>2863.335697769985</v>
      </c>
      <c r="L10" s="9">
        <f>SUM(Forecast_Main!P125:S125)</f>
        <v>9424.9686407236004</v>
      </c>
      <c r="M10" s="9">
        <f>SUM(Forecast_Main!T125:W125)</f>
        <v>141219.50791856012</v>
      </c>
      <c r="N10" s="9">
        <f>SUM(Forecast_Main!X125:AA125)</f>
        <v>147677.59497224828</v>
      </c>
      <c r="O10" s="9">
        <f>SUM(Forecast_Main!AB125:AE125)</f>
        <v>74461.509298930207</v>
      </c>
      <c r="P10" s="9">
        <f>SUM(Forecast_Main!AF125:AI125)</f>
        <v>333445.73046731029</v>
      </c>
      <c r="Q10" s="9">
        <f>SUM(Forecast_Main!AJ125:AM125)</f>
        <v>958726.68114611483</v>
      </c>
      <c r="R10" s="9">
        <f>SUM(Forecast_Main!AN125:AQ125)</f>
        <v>1230245.1778417702</v>
      </c>
      <c r="S10" s="9">
        <f>SUM(Forecast_Main!AR125:AU125)</f>
        <v>985569.58431023941</v>
      </c>
      <c r="T10" s="9">
        <f>SUM(Forecast_Main!AV125:AY125)</f>
        <v>1369380.1853269662</v>
      </c>
      <c r="U10" s="57" cm="1">
        <f t="array" ref="U10">TREND(Q10:T10,Q$22:T$22,U$22)</f>
        <v>1382801.636909008</v>
      </c>
      <c r="V10" s="57" cm="1">
        <f t="array" ref="V10">TREND(R10:U10,R$22:U$22,V$22)</f>
        <v>1452369.1406516135</v>
      </c>
      <c r="W10" s="57" cm="1">
        <f t="array" ref="W10">TREND(S10:V10,S$22:V$22,W$22)</f>
        <v>1650985.1669510007</v>
      </c>
      <c r="X10" s="57" cm="1">
        <f t="array" ref="X10">TREND(T10:W10,T$22:W$22,X$22)</f>
        <v>1692479.6446133256</v>
      </c>
      <c r="Y10" s="57" cm="1">
        <f t="array" ref="Y10">TREND(U10:X10,U$22:X$22,Y$22)</f>
        <v>1826571.4096343219</v>
      </c>
      <c r="Z10" s="57" cm="1">
        <f t="array" ref="Z10">TREND(V10:Y10,V$22:Y$22,Z$22)</f>
        <v>1946626.6616151929</v>
      </c>
      <c r="AA10" s="57" cm="1">
        <f t="array" ref="AA10">TREND(W10:Z10,W$22:Z$22,AA$22)</f>
        <v>2034419.7829568386</v>
      </c>
      <c r="AB10" s="57" cm="1">
        <f t="array" ref="AB10">TREND(X10:AA10,X$22:AA$22,AB$22)</f>
        <v>2161493.2914577723</v>
      </c>
      <c r="AC10" s="57" cm="1">
        <f t="array" ref="AC10">TREND(Y10:AB10,Y$22:AB$22,AC$22)</f>
        <v>2265417.4781190157</v>
      </c>
    </row>
    <row r="11" spans="1:29" x14ac:dyDescent="0.3">
      <c r="A11" s="151"/>
      <c r="B11" s="1" t="s">
        <v>155</v>
      </c>
      <c r="C11" s="121">
        <f>SUM(Forecast_Main!AF126:AI127)</f>
        <v>221021</v>
      </c>
      <c r="D11" s="106">
        <f>SUM(Forecast_Main!AJ126:AM127)</f>
        <v>338494</v>
      </c>
      <c r="E11" s="106">
        <f>SUM(Forecast_Main!AN126:AQ127)</f>
        <v>396620</v>
      </c>
      <c r="F11" s="106">
        <f>SUM(Forecast_Main!AR126:AU127)</f>
        <v>465634.4869956706</v>
      </c>
      <c r="G11" s="106">
        <f>SUM(Forecast_Main!AV126:AY127)</f>
        <v>559477.68440674257</v>
      </c>
      <c r="H11" s="106"/>
      <c r="I11" s="2" t="s">
        <v>155</v>
      </c>
      <c r="J11" s="9">
        <f>SUM(Forecast_Main!H126:K127)</f>
        <v>36439</v>
      </c>
      <c r="K11" s="9">
        <f>SUM(Forecast_Main!L126:O127)</f>
        <v>44716</v>
      </c>
      <c r="L11" s="9">
        <f>SUM(Forecast_Main!P126:S127)</f>
        <v>60372</v>
      </c>
      <c r="M11" s="9">
        <f>SUM(Forecast_Main!T126:W127)</f>
        <v>79862</v>
      </c>
      <c r="N11" s="9">
        <f>SUM(Forecast_Main!X126:AA127)</f>
        <v>105819</v>
      </c>
      <c r="O11" s="9">
        <f>SUM(Forecast_Main!AB126:AE127)</f>
        <v>160000</v>
      </c>
      <c r="P11" s="9">
        <f>SUM(Forecast_Main!AF126:AI127)</f>
        <v>221021</v>
      </c>
      <c r="Q11" s="9">
        <f>SUM(Forecast_Main!AJ126:AM127)</f>
        <v>338494</v>
      </c>
      <c r="R11" s="9">
        <f>SUM(Forecast_Main!AN126:AQ127)</f>
        <v>396620</v>
      </c>
      <c r="S11" s="9">
        <f>SUM(Forecast_Main!AR126:AU127)</f>
        <v>465634.4869956706</v>
      </c>
      <c r="T11" s="9">
        <f>SUM(Forecast_Main!AV126:AY127)</f>
        <v>559477.68440674257</v>
      </c>
      <c r="U11" s="57">
        <f t="shared" ref="U11:AC11" si="6">T11*(1+((T11/S11)^($V$1)-1))</f>
        <v>668541.34370295727</v>
      </c>
      <c r="V11" s="57">
        <f t="shared" si="6"/>
        <v>794608.86526261468</v>
      </c>
      <c r="W11" s="57">
        <f t="shared" si="6"/>
        <v>939567.07202661142</v>
      </c>
      <c r="X11" s="57">
        <f t="shared" si="6"/>
        <v>1105398.6726085858</v>
      </c>
      <c r="Y11" s="57">
        <f t="shared" si="6"/>
        <v>1294173.0590397934</v>
      </c>
      <c r="Z11" s="57">
        <f t="shared" si="6"/>
        <v>1508035.5112196303</v>
      </c>
      <c r="AA11" s="57">
        <f t="shared" si="6"/>
        <v>1749194.9128098022</v>
      </c>
      <c r="AB11" s="57">
        <f t="shared" si="6"/>
        <v>2019910.1136291854</v>
      </c>
      <c r="AC11" s="57">
        <f t="shared" si="6"/>
        <v>2322475.1007910362</v>
      </c>
    </row>
    <row r="12" spans="1:29" x14ac:dyDescent="0.3">
      <c r="A12" s="151"/>
      <c r="B12" s="1" t="s">
        <v>108</v>
      </c>
      <c r="C12" s="121">
        <f>SUM(Forecast_Main!AF128:AI128)</f>
        <v>167528</v>
      </c>
      <c r="D12" s="106">
        <f>SUM(Forecast_Main!AJ128:AM128)</f>
        <v>117522</v>
      </c>
      <c r="E12" s="106">
        <f>SUM(Forecast_Main!AN128:AQ128)</f>
        <v>71960</v>
      </c>
      <c r="F12" s="106">
        <f>SUM(Forecast_Main!AR128:AU128)</f>
        <v>96818.80946037735</v>
      </c>
      <c r="G12" s="106">
        <f>SUM(Forecast_Main!AV128:AY128)</f>
        <v>121397.91109011114</v>
      </c>
      <c r="H12" s="106"/>
      <c r="I12" s="4" t="s">
        <v>108</v>
      </c>
      <c r="J12" s="9">
        <f>SUM(Forecast_Main!H128:K128)</f>
        <v>0</v>
      </c>
      <c r="K12" s="9">
        <f>SUM(Forecast_Main!L128:O128)</f>
        <v>0</v>
      </c>
      <c r="L12" s="9">
        <f>SUM(Forecast_Main!P128:S128)</f>
        <v>17189</v>
      </c>
      <c r="M12" s="9">
        <f>SUM(Forecast_Main!T128:W128)</f>
        <v>21303</v>
      </c>
      <c r="N12" s="9">
        <f>SUM(Forecast_Main!X128:AA128)</f>
        <v>29264</v>
      </c>
      <c r="O12" s="9">
        <f>SUM(Forecast_Main!AB128:AE128)</f>
        <v>115223</v>
      </c>
      <c r="P12" s="9">
        <f>SUM(Forecast_Main!AF128:AI128)</f>
        <v>167528</v>
      </c>
      <c r="Q12" s="9">
        <f>SUM(Forecast_Main!AJ128:AM128)</f>
        <v>117522</v>
      </c>
      <c r="R12" s="9">
        <f>SUM(Forecast_Main!AN128:AQ128)</f>
        <v>71960</v>
      </c>
      <c r="S12" s="9">
        <f>SUM(Forecast_Main!AR128:AU128)</f>
        <v>96818.80946037735</v>
      </c>
      <c r="T12" s="9">
        <f>SUM(Forecast_Main!AV128:AY128)</f>
        <v>121397.91109011114</v>
      </c>
      <c r="U12" s="57" cm="1">
        <f t="array" ref="U12">TREND(P12:T12,P$22:T$22,U$22)</f>
        <v>81156.333602275699</v>
      </c>
      <c r="V12" s="57" cm="1">
        <f t="array" ref="V12">TREND(Q12:U12,Q$22:U$22,V$22)</f>
        <v>90782.984318951145</v>
      </c>
      <c r="W12" s="57" cm="1">
        <f t="array" ref="W12">TREND(R12:V12,R$22:V$22,W$22)</f>
        <v>99018.255528283305</v>
      </c>
      <c r="X12" s="57" cm="1">
        <f t="array" ref="X12">TREND(T12:W12,T$22:W$22,X$22)</f>
        <v>83710.792142702267</v>
      </c>
      <c r="Y12" s="57" cm="1">
        <f t="array" ref="Y12">TREND(T12:X12,T$22:X$22,Y$22)</f>
        <v>77959.560545820743</v>
      </c>
      <c r="Z12" s="57" cm="1">
        <f t="array" ref="Z12">TREND(U12:Y12,U$22:Y$22,Z$22)</f>
        <v>82485.863740859553</v>
      </c>
      <c r="AA12" s="57" cm="1">
        <f t="array" ref="AA12">TREND(V12:Z12,V$22:Z$22,AA$22)</f>
        <v>75495.610413729213</v>
      </c>
      <c r="AB12" s="57" cm="1">
        <f t="array" ref="AB12">TREND(W12:AA12,W$22:AA$22,AB$22)</f>
        <v>69252.950884992257</v>
      </c>
      <c r="AC12" s="57" cm="1">
        <f t="array" ref="AC12">TREND(X12:AB12,X$22:AB$22,AC$22)</f>
        <v>68367.06575136818</v>
      </c>
    </row>
    <row r="13" spans="1:29" x14ac:dyDescent="0.3">
      <c r="A13" s="151"/>
      <c r="B13" s="1" t="s">
        <v>98</v>
      </c>
      <c r="C13" s="121">
        <f>SUM(Forecast_Main!AF129:AI129)</f>
        <v>33670</v>
      </c>
      <c r="D13" s="106">
        <f>SUM(Forecast_Main!AJ129:AM129)</f>
        <v>141444</v>
      </c>
      <c r="E13" s="106">
        <f>SUM(Forecast_Main!AN129:AQ129)</f>
        <v>38790</v>
      </c>
      <c r="F13" s="106">
        <f>SUM(Forecast_Main!AR129:AU129)</f>
        <v>42474.815135550241</v>
      </c>
      <c r="G13" s="106">
        <f>SUM(Forecast_Main!AV129:AY129)</f>
        <v>45618.132041325909</v>
      </c>
      <c r="H13" s="106"/>
      <c r="I13" s="2" t="s">
        <v>98</v>
      </c>
      <c r="J13" s="9">
        <f>SUM(Forecast_Main!H129:K129)</f>
        <v>6477</v>
      </c>
      <c r="K13" s="9">
        <f>SUM(Forecast_Main!L129:O129)</f>
        <v>11220</v>
      </c>
      <c r="L13" s="9">
        <f>SUM(Forecast_Main!P129:S129)</f>
        <v>8911</v>
      </c>
      <c r="M13" s="9">
        <f>SUM(Forecast_Main!T129:W129)</f>
        <v>10294</v>
      </c>
      <c r="N13" s="9">
        <f>SUM(Forecast_Main!X129:AA129)</f>
        <v>12818</v>
      </c>
      <c r="O13" s="9">
        <f>SUM(Forecast_Main!AB129:AE129)</f>
        <v>29940</v>
      </c>
      <c r="P13" s="9">
        <f>SUM(Forecast_Main!AF129:AI129)</f>
        <v>33670</v>
      </c>
      <c r="Q13" s="9">
        <f>SUM(Forecast_Main!AJ129:AM129)</f>
        <v>141444</v>
      </c>
      <c r="R13" s="9">
        <f>SUM(Forecast_Main!AN129:AQ129)</f>
        <v>38790</v>
      </c>
      <c r="S13" s="9">
        <f>SUM(Forecast_Main!AR129:AU129)</f>
        <v>42474.815135550241</v>
      </c>
      <c r="T13" s="9">
        <f>SUM(Forecast_Main!AV129:AY129)</f>
        <v>45618.132041325909</v>
      </c>
      <c r="U13" s="57" cm="1">
        <f t="array" ref="U13">TREND(P13:T13,P$22:T$22,U$22)</f>
        <v>37877.513200836256</v>
      </c>
      <c r="V13" s="57" cm="1">
        <f t="array" ref="V13">TREND(Q13:U13,Q$22:U$22,V$22)</f>
        <v>1149.4396084398031</v>
      </c>
      <c r="W13" s="57" cm="1">
        <f t="array" ref="W13">TREND(R13:V13,R$22:V$22,W$22)</f>
        <v>9218.4531818795949</v>
      </c>
      <c r="X13" s="57" cm="1">
        <f t="array" ref="X13">TREND(T13:W13,T$22:W$22,X$22)</f>
        <v>-13015.893034562469</v>
      </c>
      <c r="Y13" s="57" cm="1">
        <f t="array" ref="Y13">TREND(T13:X13,T$22:X$22,Y$22)</f>
        <v>-27608.604051634669</v>
      </c>
      <c r="Z13" s="57" cm="1">
        <f t="array" ref="Z13">TREND(U13:Y13,U$22:Y$22,Z$22)</f>
        <v>-42017.088363394141</v>
      </c>
      <c r="AA13" s="57" cm="1">
        <f t="array" ref="AA13">TREND(V13:Z13,V$22:Z$22,AA$22)</f>
        <v>-51402.772485006601</v>
      </c>
      <c r="AB13" s="57" cm="1">
        <f t="array" ref="AB13">TREND(W13:AA13,W$22:AA$22,AB$22)</f>
        <v>-70038.274949323386</v>
      </c>
      <c r="AC13" s="57" cm="1">
        <f t="array" ref="AC13">TREND(X13:AB13,X$22:AB$22,AC$22)</f>
        <v>-82168.20625565201</v>
      </c>
    </row>
    <row r="14" spans="1:29" ht="15" thickBot="1" x14ac:dyDescent="0.35">
      <c r="A14" s="152"/>
      <c r="B14" s="144" t="s">
        <v>140</v>
      </c>
      <c r="C14" s="145">
        <f>SUM(Forecast_Main!AF130:AI130)</f>
        <v>5332</v>
      </c>
      <c r="D14" s="146">
        <f>SUM(Forecast_Main!AJ130:AM130)</f>
        <v>5979</v>
      </c>
      <c r="E14" s="146">
        <f>SUM(Forecast_Main!AN130:AQ130)</f>
        <v>1121</v>
      </c>
      <c r="F14" s="146">
        <f>SUM(Forecast_Main!AR130:AU130)</f>
        <v>10136.271088574833</v>
      </c>
      <c r="G14" s="146">
        <f>SUM(Forecast_Main!AV130:AY130)</f>
        <v>14648.951063764885</v>
      </c>
      <c r="H14" s="106"/>
      <c r="I14" s="29" t="s">
        <v>118</v>
      </c>
      <c r="J14" s="9">
        <f>SUM(Forecast_Main!H130:K130)</f>
        <v>100</v>
      </c>
      <c r="K14" s="9">
        <f>SUM(Forecast_Main!L130:O130)</f>
        <v>199</v>
      </c>
      <c r="L14" s="9">
        <f>SUM(Forecast_Main!P130:S130)</f>
        <v>1190</v>
      </c>
      <c r="M14" s="9">
        <f>SUM(Forecast_Main!T130:W130)</f>
        <v>6182</v>
      </c>
      <c r="N14" s="9">
        <f>SUM(Forecast_Main!X130:AA130)</f>
        <v>4268</v>
      </c>
      <c r="O14" s="9">
        <f>SUM(Forecast_Main!AB130:AE130)</f>
        <v>5110</v>
      </c>
      <c r="P14" s="9">
        <f>SUM(Forecast_Main!AF130:AI130)</f>
        <v>5332</v>
      </c>
      <c r="Q14" s="9">
        <f>SUM(Forecast_Main!AJ130:AM130)</f>
        <v>5979</v>
      </c>
      <c r="R14" s="9">
        <f>SUM(Forecast_Main!AN130:AQ130)</f>
        <v>1121</v>
      </c>
      <c r="S14" s="9">
        <f>SUM(Forecast_Main!AR130:AU130)</f>
        <v>10136.271088574833</v>
      </c>
      <c r="T14" s="9">
        <f>SUM(Forecast_Main!AV130:AY130)</f>
        <v>14648.951063764885</v>
      </c>
      <c r="U14" s="57" cm="1">
        <f t="array" ref="U14">TREND(Q14:T14,Q$22:T$22,U$22)</f>
        <v>16727.586608052254</v>
      </c>
      <c r="V14" s="57" cm="1">
        <f t="array" ref="V14">TREND(R14:U14,R$22:U$22,V$22)</f>
        <v>23491.562139933929</v>
      </c>
      <c r="W14" s="57" cm="1">
        <f t="array" ref="W14">TREND(T14:V14,T$22:V$22,W$22)</f>
        <v>27131.977680085227</v>
      </c>
      <c r="X14" s="57" cm="1">
        <f t="array" ref="X14">TREND(T14:W14,T$22:W$22,X$22)</f>
        <v>31553.283218169585</v>
      </c>
      <c r="Y14" s="57" cm="1">
        <f t="array" ref="Y14">TREND(U14:X14,U$22:X$22,Y$22)</f>
        <v>36755.478754187003</v>
      </c>
      <c r="Z14" s="57" cm="1">
        <f t="array" ref="Z14">TREND(V14:Y14,V$22:Y$22,Z$22)</f>
        <v>40786.339293304831</v>
      </c>
      <c r="AA14" s="57" cm="1">
        <f t="array" ref="AA14">TREND(W14:Z14,W$22:Z$22,AA$22)</f>
        <v>45598.089830355719</v>
      </c>
      <c r="AB14" s="57" cm="1">
        <f t="array" ref="AB14">TREND(X14:AA14,X$22:AA$22,AB$22)</f>
        <v>50214.61786792241</v>
      </c>
      <c r="AC14" s="57" cm="1">
        <f t="array" ref="AC14">TREND(Y14:AB14,Y$22:AB$22,AC$22)</f>
        <v>54635.923406008631</v>
      </c>
    </row>
    <row r="15" spans="1:29" ht="15" thickBot="1" x14ac:dyDescent="0.35">
      <c r="A15" s="153" t="s">
        <v>110</v>
      </c>
      <c r="B15" s="139"/>
      <c r="C15" s="122">
        <f>SUM(C8:C14)</f>
        <v>1812431.35</v>
      </c>
      <c r="D15" s="122">
        <f>SUM(D8:D14)</f>
        <v>2572009.5</v>
      </c>
      <c r="E15" s="122">
        <f>SUM(E8:E14)</f>
        <v>2724014.3</v>
      </c>
      <c r="F15" s="122">
        <f>SUM(F8:F14)</f>
        <v>2562291.4509205115</v>
      </c>
      <c r="G15" s="122">
        <f>SUM(G8:G14)</f>
        <v>3124280.1148508438</v>
      </c>
      <c r="H15" s="122"/>
      <c r="I15" s="54" t="s">
        <v>156</v>
      </c>
      <c r="J15" s="33">
        <f t="shared" ref="J15:O15" si="7">SUM(J8:J14)</f>
        <v>809410.5</v>
      </c>
      <c r="K15" s="33">
        <f t="shared" si="7"/>
        <v>855272.3</v>
      </c>
      <c r="L15" s="33">
        <f t="shared" si="7"/>
        <v>943646.15</v>
      </c>
      <c r="M15" s="33">
        <f t="shared" si="7"/>
        <v>1220755.25</v>
      </c>
      <c r="N15" s="75">
        <f t="shared" si="7"/>
        <v>1260547.1499999999</v>
      </c>
      <c r="O15" s="75">
        <f t="shared" si="7"/>
        <v>1443566.05</v>
      </c>
      <c r="P15" s="75">
        <f>SUM(P8:P14)</f>
        <v>1812431.35</v>
      </c>
      <c r="Q15" s="75">
        <f>SUM(Q8:Q14)</f>
        <v>2572009.5</v>
      </c>
      <c r="R15" s="75">
        <f>SUM(R8:R14)</f>
        <v>2724014.3</v>
      </c>
      <c r="S15" s="75">
        <f>SUM(S8:S14)</f>
        <v>2562291.4509205115</v>
      </c>
      <c r="T15" s="75">
        <f>SUM(T8:T14)</f>
        <v>3124280.1148508438</v>
      </c>
      <c r="U15" s="58">
        <f t="shared" ref="U15:AC15" si="8">SUM(U8:U14)</f>
        <v>3175220.9279557075</v>
      </c>
      <c r="V15" s="58">
        <f t="shared" si="8"/>
        <v>3312015.3735549003</v>
      </c>
      <c r="W15" s="58">
        <f t="shared" si="8"/>
        <v>3655114.2316454258</v>
      </c>
      <c r="X15" s="58">
        <f t="shared" si="8"/>
        <v>3808109.6649552817</v>
      </c>
      <c r="Y15" s="58">
        <f t="shared" si="8"/>
        <v>4101371.0359707563</v>
      </c>
      <c r="Z15" s="58">
        <f t="shared" si="8"/>
        <v>4430312.0143136755</v>
      </c>
      <c r="AA15" s="58">
        <f t="shared" si="8"/>
        <v>4734844.2170677176</v>
      </c>
      <c r="AB15" s="58">
        <f t="shared" si="8"/>
        <v>5077574.1306515438</v>
      </c>
      <c r="AC15" s="58">
        <f t="shared" si="8"/>
        <v>5456997.124155147</v>
      </c>
    </row>
    <row r="16" spans="1:29" x14ac:dyDescent="0.3">
      <c r="A16" s="144"/>
      <c r="B16" s="144"/>
      <c r="C16" s="144"/>
      <c r="D16" s="144"/>
      <c r="E16" s="144"/>
      <c r="F16" s="144"/>
      <c r="G16" s="144"/>
      <c r="H16" s="1"/>
    </row>
    <row r="17" spans="1:29" x14ac:dyDescent="0.3">
      <c r="A17" s="141" t="s">
        <v>157</v>
      </c>
      <c r="B17" s="141"/>
      <c r="C17" s="142">
        <f>SUM(C8:C14)+C4+C5</f>
        <v>-116377.99999999988</v>
      </c>
      <c r="D17" s="142">
        <f>SUM(D8:D14)+D4+D5</f>
        <v>471569.99999999988</v>
      </c>
      <c r="E17" s="142">
        <f>SUM(E8:E14)+E4+E5</f>
        <v>242253</v>
      </c>
      <c r="F17" s="142">
        <f>SUM(F8:F14)+F4+F5</f>
        <v>-345236.61920688231</v>
      </c>
      <c r="G17" s="142">
        <f>SUM(G8:G14)+G4+G5</f>
        <v>-22310.006576651125</v>
      </c>
      <c r="H17" s="142"/>
      <c r="I17" s="1" t="s">
        <v>158</v>
      </c>
      <c r="J17" s="27">
        <f t="shared" ref="J17:O17" si="9">SUM(J8:J14)+J4+J5</f>
        <v>214579</v>
      </c>
      <c r="K17" s="27">
        <f t="shared" si="9"/>
        <v>210900.00000000003</v>
      </c>
      <c r="L17" s="27">
        <f>SUM(L8:L14)+L4+L5</f>
        <v>78736</v>
      </c>
      <c r="M17" s="27">
        <f t="shared" si="9"/>
        <v>218708</v>
      </c>
      <c r="N17" s="76">
        <f>SUM(N8:N14)+N4+N5</f>
        <v>106010.99999999988</v>
      </c>
      <c r="O17" s="76">
        <f t="shared" si="9"/>
        <v>-63815</v>
      </c>
      <c r="P17" s="76">
        <f>SUM(P8:P14)+P4+P5</f>
        <v>-116377.99999999988</v>
      </c>
      <c r="Q17" s="76">
        <f>SUM(Q8:Q14)+Q4+Q5</f>
        <v>471569.99999999988</v>
      </c>
      <c r="R17" s="76">
        <f>SUM(R8:R14)+R4+R5</f>
        <v>242253</v>
      </c>
      <c r="S17" s="76">
        <f>SUM(S8:S14)+S4+S5</f>
        <v>-345236.61920688231</v>
      </c>
      <c r="T17" s="76">
        <f>SUM(T8:T14)+T4+T5</f>
        <v>-22310.006576651125</v>
      </c>
      <c r="U17" s="59">
        <f t="shared" ref="U17:AC17" si="10">SUM(U8:U14)+U4+U5</f>
        <v>-217094.07005494786</v>
      </c>
      <c r="V17" s="59">
        <f t="shared" si="10"/>
        <v>-331906.41280273558</v>
      </c>
      <c r="W17" s="59">
        <f t="shared" si="10"/>
        <v>-245497.3854594531</v>
      </c>
      <c r="X17" s="59">
        <f t="shared" si="10"/>
        <v>-353467.40724561131</v>
      </c>
      <c r="Y17" s="59">
        <f t="shared" si="10"/>
        <v>-324639.93935886025</v>
      </c>
      <c r="Z17" s="59">
        <f t="shared" si="10"/>
        <v>-262802.44610541896</v>
      </c>
      <c r="AA17" s="59">
        <f t="shared" si="10"/>
        <v>-227260.02653454291</v>
      </c>
      <c r="AB17" s="59">
        <f t="shared" si="10"/>
        <v>-154644.92149895662</v>
      </c>
      <c r="AC17" s="59">
        <f t="shared" si="10"/>
        <v>-45728.064959431067</v>
      </c>
    </row>
    <row r="18" spans="1:29" x14ac:dyDescent="0.3">
      <c r="A18" s="147" t="s">
        <v>159</v>
      </c>
      <c r="B18" s="147"/>
      <c r="C18" s="148">
        <f>+O19</f>
        <v>765118.99999999988</v>
      </c>
      <c r="D18" s="148">
        <f>+P19</f>
        <v>648741</v>
      </c>
      <c r="E18" s="148">
        <f>+D19</f>
        <v>1120311</v>
      </c>
      <c r="F18" s="148">
        <f>+E19</f>
        <v>1362564</v>
      </c>
      <c r="G18" s="148">
        <f>+F19</f>
        <v>1017327.3807931177</v>
      </c>
      <c r="H18" s="186"/>
    </row>
    <row r="19" spans="1:29" ht="15" thickBot="1" x14ac:dyDescent="0.35">
      <c r="A19" s="149" t="s">
        <v>160</v>
      </c>
      <c r="B19" s="149"/>
      <c r="C19" s="150">
        <f>SUM(C17:C18)</f>
        <v>648741</v>
      </c>
      <c r="D19" s="150">
        <f>SUM(D17:D18)</f>
        <v>1120311</v>
      </c>
      <c r="E19" s="150">
        <f>SUM(E17:E18)</f>
        <v>1362564</v>
      </c>
      <c r="F19" s="150">
        <f>SUM(F17:F18)</f>
        <v>1017327.3807931177</v>
      </c>
      <c r="G19" s="150">
        <f>SUM(G17:G18)</f>
        <v>995017.37421646656</v>
      </c>
      <c r="H19" s="187"/>
      <c r="I19" s="55" t="s">
        <v>161</v>
      </c>
      <c r="J19" s="37">
        <f>SUM($J17:J17)</f>
        <v>214579</v>
      </c>
      <c r="K19" s="37">
        <f>SUM($J17:K17)</f>
        <v>425479</v>
      </c>
      <c r="L19" s="37">
        <f>SUM($J17:L17)</f>
        <v>504215</v>
      </c>
      <c r="M19" s="37">
        <f>SUM($J17:M17)</f>
        <v>722923</v>
      </c>
      <c r="N19" s="37">
        <f>SUM($J17:N17)</f>
        <v>828933.99999999988</v>
      </c>
      <c r="O19" s="37">
        <f>SUM($J17:O17)</f>
        <v>765118.99999999988</v>
      </c>
      <c r="P19" s="37">
        <f>SUM($J17:P17)</f>
        <v>648741</v>
      </c>
      <c r="Q19" s="37">
        <f>SUM($J17:Q17)</f>
        <v>1120311</v>
      </c>
      <c r="R19" s="37">
        <f>SUM($J17:R17)</f>
        <v>1362564</v>
      </c>
      <c r="S19" s="37">
        <f>SUM($J17:S17)</f>
        <v>1017327.3807931177</v>
      </c>
      <c r="T19" s="37">
        <f>SUM($J17:T17)</f>
        <v>995017.37421646656</v>
      </c>
      <c r="U19" s="60">
        <f>SUM($J17:U17)</f>
        <v>777923.3041615187</v>
      </c>
      <c r="V19" s="60">
        <f>SUM($J17:V17)</f>
        <v>446016.89135878312</v>
      </c>
      <c r="W19" s="60">
        <f>SUM($J17:W17)</f>
        <v>200519.50589933002</v>
      </c>
      <c r="X19" s="60">
        <f>SUM($J17:X17)</f>
        <v>-152947.90134628129</v>
      </c>
      <c r="Y19" s="60">
        <f>SUM($J17:Y17)</f>
        <v>-477587.84070514154</v>
      </c>
      <c r="Z19" s="60">
        <f>SUM($J17:Z17)</f>
        <v>-740390.2868105605</v>
      </c>
      <c r="AA19" s="60">
        <f>SUM($J17:AA17)</f>
        <v>-967650.31334510341</v>
      </c>
      <c r="AB19" s="60">
        <f>SUM($J17:AB17)</f>
        <v>-1122295.2348440601</v>
      </c>
      <c r="AC19" s="60">
        <f>SUM($J17:AC17)</f>
        <v>-1168023.2998034912</v>
      </c>
    </row>
    <row r="20" spans="1:29" x14ac:dyDescent="0.3">
      <c r="A20" s="1"/>
      <c r="B20" s="1"/>
      <c r="C20" s="1"/>
      <c r="D20" s="1"/>
      <c r="E20" s="1"/>
      <c r="F20" s="1"/>
      <c r="G20" s="1"/>
      <c r="H20" s="1"/>
    </row>
    <row r="21" spans="1:29" x14ac:dyDescent="0.3">
      <c r="I21" t="s">
        <v>162</v>
      </c>
      <c r="J21" s="9">
        <f t="shared" ref="J21:AC21" si="11">-J6</f>
        <v>594831.5</v>
      </c>
      <c r="K21" s="9">
        <f t="shared" si="11"/>
        <v>644372.30000000005</v>
      </c>
      <c r="L21" s="9">
        <f t="shared" si="11"/>
        <v>864910.15</v>
      </c>
      <c r="M21" s="9">
        <f t="shared" si="11"/>
        <v>1002047.25</v>
      </c>
      <c r="N21" s="9">
        <f t="shared" si="11"/>
        <v>1154536.1499999999</v>
      </c>
      <c r="O21" s="9">
        <f t="shared" si="11"/>
        <v>1507381.05</v>
      </c>
      <c r="P21" s="9">
        <f t="shared" si="11"/>
        <v>1928809.35</v>
      </c>
      <c r="Q21" s="9">
        <f t="shared" si="11"/>
        <v>2100439.5</v>
      </c>
      <c r="R21" s="9">
        <f t="shared" si="11"/>
        <v>2481761.2999999998</v>
      </c>
      <c r="S21" s="9">
        <f t="shared" si="11"/>
        <v>2907528.0701273941</v>
      </c>
      <c r="T21" s="9">
        <f t="shared" si="11"/>
        <v>3146590.121427495</v>
      </c>
      <c r="U21" s="9">
        <f t="shared" si="11"/>
        <v>3392314.9980106554</v>
      </c>
      <c r="V21" s="9">
        <f t="shared" si="11"/>
        <v>3643921.7863576356</v>
      </c>
      <c r="W21" s="9">
        <f t="shared" si="11"/>
        <v>3900611.6171048786</v>
      </c>
      <c r="X21" s="9">
        <f t="shared" si="11"/>
        <v>4161577.072200893</v>
      </c>
      <c r="Y21" s="9">
        <f t="shared" si="11"/>
        <v>4426010.975329617</v>
      </c>
      <c r="Z21" s="9">
        <f t="shared" si="11"/>
        <v>4693114.4604190942</v>
      </c>
      <c r="AA21" s="9">
        <f t="shared" si="11"/>
        <v>4962104.2436022609</v>
      </c>
      <c r="AB21" s="9">
        <f t="shared" si="11"/>
        <v>5232219.0521505009</v>
      </c>
      <c r="AC21" s="9">
        <f t="shared" si="11"/>
        <v>5502725.1891145781</v>
      </c>
    </row>
    <row r="22" spans="1:29" x14ac:dyDescent="0.3">
      <c r="J22">
        <v>2016</v>
      </c>
      <c r="K22">
        <v>2017</v>
      </c>
      <c r="L22">
        <v>2018</v>
      </c>
      <c r="M22">
        <v>2019</v>
      </c>
      <c r="N22">
        <v>2020</v>
      </c>
      <c r="O22">
        <v>2021</v>
      </c>
      <c r="P22">
        <v>2022</v>
      </c>
      <c r="Q22">
        <v>2023</v>
      </c>
      <c r="R22">
        <v>2024</v>
      </c>
      <c r="S22">
        <v>2025</v>
      </c>
      <c r="T22">
        <v>2026</v>
      </c>
      <c r="U22">
        <v>2027</v>
      </c>
      <c r="V22">
        <v>2028</v>
      </c>
      <c r="W22">
        <v>2029</v>
      </c>
      <c r="X22">
        <v>2030</v>
      </c>
      <c r="Y22">
        <v>2031</v>
      </c>
      <c r="Z22">
        <v>2032</v>
      </c>
      <c r="AA22">
        <v>2033</v>
      </c>
      <c r="AB22">
        <v>2034</v>
      </c>
      <c r="AC22">
        <v>2035</v>
      </c>
    </row>
    <row r="24" spans="1:29" x14ac:dyDescent="0.3">
      <c r="I24" t="s">
        <v>163</v>
      </c>
      <c r="K24" s="7">
        <f>K11/J11-1</f>
        <v>0.22714673838469768</v>
      </c>
      <c r="L24" s="7">
        <f t="shared" ref="L24:T24" si="12">L11/K11-1</f>
        <v>0.35012076214330445</v>
      </c>
      <c r="M24" s="7">
        <f t="shared" si="12"/>
        <v>0.32283177632014848</v>
      </c>
      <c r="N24" s="7">
        <f t="shared" si="12"/>
        <v>0.32502316495955519</v>
      </c>
      <c r="O24" s="7">
        <f t="shared" si="12"/>
        <v>0.51201580056511586</v>
      </c>
      <c r="P24" s="7">
        <f t="shared" si="12"/>
        <v>0.38138125</v>
      </c>
      <c r="Q24" s="7">
        <f t="shared" si="12"/>
        <v>0.53150153152867818</v>
      </c>
      <c r="R24" s="7">
        <f t="shared" si="12"/>
        <v>0.17171943963556213</v>
      </c>
      <c r="S24" s="7">
        <f t="shared" si="12"/>
        <v>0.17400657303129097</v>
      </c>
      <c r="T24" s="7">
        <f t="shared" si="12"/>
        <v>0.20153833109862518</v>
      </c>
      <c r="U24" s="7">
        <f t="shared" ref="U24:AC24" si="13">U11/T11-1</f>
        <v>0.19493835471179399</v>
      </c>
      <c r="V24" s="7">
        <f t="shared" si="13"/>
        <v>0.18857101770458495</v>
      </c>
      <c r="W24" s="7">
        <f t="shared" si="13"/>
        <v>0.18242711993414362</v>
      </c>
      <c r="X24" s="7">
        <f t="shared" si="13"/>
        <v>0.17649788452492454</v>
      </c>
      <c r="Y24" s="7">
        <f t="shared" si="13"/>
        <v>0.17077493497049945</v>
      </c>
      <c r="Z24" s="7">
        <f t="shared" si="13"/>
        <v>0.1652502736678132</v>
      </c>
      <c r="AA24" s="7">
        <f t="shared" si="13"/>
        <v>0.1599162617829426</v>
      </c>
      <c r="AB24" s="7">
        <f t="shared" si="13"/>
        <v>0.15476560035526421</v>
      </c>
      <c r="AC24" s="7">
        <f t="shared" si="13"/>
        <v>0.14979131255411682</v>
      </c>
    </row>
    <row r="27" spans="1:29" x14ac:dyDescent="0.3">
      <c r="E27" s="9"/>
      <c r="F27" s="9"/>
      <c r="G27" s="9"/>
      <c r="H27" s="9"/>
      <c r="I27" s="22" t="s">
        <v>164</v>
      </c>
    </row>
    <row r="28" spans="1:29" x14ac:dyDescent="0.3">
      <c r="E28" s="9"/>
      <c r="F28" s="9"/>
      <c r="G28" s="9"/>
      <c r="H28" s="9"/>
    </row>
    <row r="29" spans="1:29" ht="29.4" thickBot="1" x14ac:dyDescent="0.35">
      <c r="I29" s="18" t="s">
        <v>165</v>
      </c>
      <c r="J29" s="111" t="s">
        <v>103</v>
      </c>
      <c r="K29" s="111" t="s">
        <v>105</v>
      </c>
      <c r="L29" s="119" t="s">
        <v>166</v>
      </c>
      <c r="M29" s="119" t="s">
        <v>167</v>
      </c>
    </row>
    <row r="30" spans="1:29" x14ac:dyDescent="0.3">
      <c r="E30" s="9"/>
      <c r="F30" s="9"/>
      <c r="G30" s="9"/>
      <c r="H30" s="9"/>
    </row>
    <row r="31" spans="1:29" x14ac:dyDescent="0.3">
      <c r="E31" s="9"/>
      <c r="F31" s="9"/>
      <c r="G31" s="9"/>
      <c r="H31" s="9"/>
      <c r="I31" s="52">
        <v>2016</v>
      </c>
      <c r="J31" s="9">
        <f>SUM(Forecast_Main!H121:K121)</f>
        <v>-594831.5</v>
      </c>
      <c r="K31" s="9">
        <f>SUM(Forecast_Main!H131:K131)</f>
        <v>809410.5</v>
      </c>
      <c r="L31" s="9">
        <f t="shared" ref="L31:L40" si="14">SUM(J31:K31)</f>
        <v>214579</v>
      </c>
      <c r="M31" s="9">
        <f>SUM(L$31:L31)</f>
        <v>214579</v>
      </c>
    </row>
    <row r="32" spans="1:29" x14ac:dyDescent="0.3">
      <c r="E32" s="9"/>
      <c r="F32" s="9"/>
      <c r="G32" s="9"/>
      <c r="H32" s="9"/>
      <c r="I32" s="52">
        <v>2017</v>
      </c>
      <c r="J32" s="9">
        <f>SUM(Forecast_Main!L121:O121)</f>
        <v>-644372.30000000005</v>
      </c>
      <c r="K32" s="9">
        <f>SUM(Forecast_Main!L131:O131)</f>
        <v>855272.3</v>
      </c>
      <c r="L32" s="9">
        <f t="shared" si="14"/>
        <v>210900</v>
      </c>
      <c r="M32" s="9">
        <f>SUM(L$31:L32)</f>
        <v>425479</v>
      </c>
    </row>
    <row r="33" spans="5:13" x14ac:dyDescent="0.3">
      <c r="E33" s="9"/>
      <c r="F33" s="9"/>
      <c r="G33" s="9"/>
      <c r="H33" s="9"/>
      <c r="I33" s="52">
        <v>2018</v>
      </c>
      <c r="J33" s="9">
        <f>SUM(Forecast_Main!P121:S121)</f>
        <v>-864910.15</v>
      </c>
      <c r="K33" s="9">
        <f>SUM(Forecast_Main!P131:S131)</f>
        <v>943646.15</v>
      </c>
      <c r="L33" s="9">
        <f t="shared" si="14"/>
        <v>78736</v>
      </c>
      <c r="M33" s="9">
        <f>SUM(L$31:L33)</f>
        <v>504215</v>
      </c>
    </row>
    <row r="34" spans="5:13" x14ac:dyDescent="0.3">
      <c r="E34" s="9"/>
      <c r="F34" s="9"/>
      <c r="G34" s="9"/>
      <c r="H34" s="9"/>
      <c r="I34" s="52">
        <v>2019</v>
      </c>
      <c r="J34" s="9">
        <f>SUM(Forecast_Main!T121:W121)</f>
        <v>-1002047.25</v>
      </c>
      <c r="K34" s="9">
        <f>SUM(Forecast_Main!T131:W131)</f>
        <v>1220755.25</v>
      </c>
      <c r="L34" s="9">
        <f t="shared" si="14"/>
        <v>218708</v>
      </c>
      <c r="M34" s="9">
        <f>SUM(L$31:L34)</f>
        <v>722923</v>
      </c>
    </row>
    <row r="35" spans="5:13" x14ac:dyDescent="0.3">
      <c r="E35" s="9"/>
      <c r="F35" s="9"/>
      <c r="G35" s="9"/>
      <c r="H35" s="9"/>
      <c r="I35" s="52">
        <v>2020</v>
      </c>
      <c r="J35" s="9">
        <f>SUM(Forecast_Main!X121:AA121)</f>
        <v>-1154536.1499999999</v>
      </c>
      <c r="K35" s="9">
        <f>SUM(Forecast_Main!X131:AA131)</f>
        <v>1260547.1499999999</v>
      </c>
      <c r="L35" s="9">
        <f t="shared" si="14"/>
        <v>106011</v>
      </c>
      <c r="M35" s="9">
        <f>SUM(L$31:L35)</f>
        <v>828934</v>
      </c>
    </row>
    <row r="36" spans="5:13" x14ac:dyDescent="0.3">
      <c r="E36" s="9"/>
      <c r="F36" s="9"/>
      <c r="G36" s="9"/>
      <c r="H36" s="9"/>
      <c r="I36" s="52">
        <v>2021</v>
      </c>
      <c r="J36" s="9">
        <f>O6</f>
        <v>-1507381.05</v>
      </c>
      <c r="K36" s="9">
        <f>O15</f>
        <v>1443566.05</v>
      </c>
      <c r="L36" s="9">
        <f t="shared" si="14"/>
        <v>-63815</v>
      </c>
      <c r="M36" s="9">
        <f>SUM(L$31:L36)</f>
        <v>765119</v>
      </c>
    </row>
    <row r="37" spans="5:13" x14ac:dyDescent="0.3">
      <c r="E37" s="9"/>
      <c r="F37" s="9"/>
      <c r="G37" s="9"/>
      <c r="H37" s="9"/>
      <c r="I37" s="52">
        <v>2022</v>
      </c>
      <c r="J37" s="9">
        <f>P6</f>
        <v>-1928809.35</v>
      </c>
      <c r="K37" s="9">
        <f>P15</f>
        <v>1812431.35</v>
      </c>
      <c r="L37" s="9">
        <f t="shared" si="14"/>
        <v>-116378</v>
      </c>
      <c r="M37" s="9">
        <f>SUM(L$31:L37)</f>
        <v>648741</v>
      </c>
    </row>
    <row r="38" spans="5:13" x14ac:dyDescent="0.3">
      <c r="I38" s="52">
        <v>2023</v>
      </c>
      <c r="J38" s="9">
        <f>Q6</f>
        <v>-2100439.5</v>
      </c>
      <c r="K38" s="9">
        <f>Q15</f>
        <v>2572009.5</v>
      </c>
      <c r="L38" s="9">
        <f t="shared" si="14"/>
        <v>471570</v>
      </c>
      <c r="M38" s="9">
        <f>SUM(L$31:L38)</f>
        <v>1120311</v>
      </c>
    </row>
    <row r="39" spans="5:13" x14ac:dyDescent="0.3">
      <c r="E39" s="9"/>
      <c r="F39" s="9"/>
      <c r="G39" s="9"/>
      <c r="H39" s="9"/>
      <c r="I39" s="52">
        <v>2024</v>
      </c>
      <c r="J39" s="9">
        <f>+E6</f>
        <v>-2481761.2999999998</v>
      </c>
      <c r="K39" s="9">
        <f>+E15</f>
        <v>2724014.3</v>
      </c>
      <c r="L39" s="9">
        <f t="shared" si="14"/>
        <v>242253</v>
      </c>
      <c r="M39" s="109">
        <f>SUM(L$31:L39)</f>
        <v>1362564</v>
      </c>
    </row>
    <row r="40" spans="5:13" x14ac:dyDescent="0.3">
      <c r="E40" s="9"/>
      <c r="F40" s="9"/>
      <c r="G40" s="9"/>
      <c r="H40" s="9"/>
      <c r="I40" s="52" t="s">
        <v>168</v>
      </c>
      <c r="J40" s="9">
        <f>+F6</f>
        <v>-2907528.0701273941</v>
      </c>
      <c r="K40" s="9">
        <f>+F15</f>
        <v>2562291.4509205115</v>
      </c>
      <c r="L40" s="9">
        <f t="shared" si="14"/>
        <v>-345236.61920688255</v>
      </c>
      <c r="M40" s="109">
        <f>SUM(L$31:L40)</f>
        <v>1017327.3807931175</v>
      </c>
    </row>
    <row r="41" spans="5:13" ht="15" thickBot="1" x14ac:dyDescent="0.35">
      <c r="E41" s="9"/>
      <c r="F41" s="9"/>
      <c r="G41" s="9"/>
      <c r="H41" s="9"/>
      <c r="I41" s="20" t="s">
        <v>169</v>
      </c>
      <c r="J41" s="37">
        <f>SUM(J31:J40)</f>
        <v>-15186616.620127395</v>
      </c>
      <c r="K41" s="37">
        <f t="shared" ref="K41:L41" si="15">SUM(K31:K40)</f>
        <v>16203944.000920512</v>
      </c>
      <c r="L41" s="37">
        <f t="shared" si="15"/>
        <v>1017327.3807931175</v>
      </c>
    </row>
    <row r="42" spans="5:13" x14ac:dyDescent="0.3">
      <c r="E42" s="9"/>
      <c r="F42" s="9"/>
      <c r="G42" s="9"/>
      <c r="H42" s="9"/>
    </row>
    <row r="43" spans="5:13" x14ac:dyDescent="0.3">
      <c r="I43" t="s">
        <v>170</v>
      </c>
      <c r="J43" s="9">
        <f>SUM(J31:J39)</f>
        <v>-12279088.550000001</v>
      </c>
      <c r="K43" s="9">
        <f>SUM(K31:K39)</f>
        <v>13641652.550000001</v>
      </c>
      <c r="L43" s="9"/>
    </row>
    <row r="47" spans="5:13" x14ac:dyDescent="0.3">
      <c r="I47" s="22" t="s">
        <v>171</v>
      </c>
    </row>
    <row r="48" spans="5:13" x14ac:dyDescent="0.3">
      <c r="K48">
        <v>2023</v>
      </c>
      <c r="L48">
        <v>2024</v>
      </c>
    </row>
    <row r="49" spans="9:14" x14ac:dyDescent="0.3">
      <c r="I49" s="23" t="s">
        <v>172</v>
      </c>
      <c r="J49" s="23"/>
      <c r="K49" s="120">
        <v>163119</v>
      </c>
      <c r="L49" s="120">
        <v>212609</v>
      </c>
      <c r="N49" s="9">
        <f>SUM(K49:L49)</f>
        <v>375728</v>
      </c>
    </row>
    <row r="51" spans="9:14" x14ac:dyDescent="0.3">
      <c r="I51" s="23" t="s">
        <v>173</v>
      </c>
      <c r="J51" s="23"/>
      <c r="K51" s="120">
        <f>+D12</f>
        <v>117522</v>
      </c>
      <c r="L51" s="120">
        <f>+E12</f>
        <v>71960</v>
      </c>
      <c r="N51" s="9">
        <f>SUM(K51:L51)</f>
        <v>189482</v>
      </c>
    </row>
  </sheetData>
  <mergeCells count="2">
    <mergeCell ref="I2:Q2"/>
    <mergeCell ref="A2:G2"/>
  </mergeCells>
  <pageMargins left="0.7" right="0.7" top="0.75" bottom="0.75" header="0.3" footer="0.3"/>
  <pageSetup orientation="portrait" horizontalDpi="200"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85"/>
  <sheetViews>
    <sheetView zoomScale="70" zoomScaleNormal="75" workbookViewId="0">
      <pane xSplit="3" ySplit="5" topLeftCell="D17" activePane="bottomRight" state="frozen"/>
      <selection pane="topRight" activeCell="D1" sqref="D1"/>
      <selection pane="bottomLeft" activeCell="A3" sqref="A3"/>
      <selection pane="bottomRight" activeCell="L21" sqref="L21"/>
    </sheetView>
  </sheetViews>
  <sheetFormatPr defaultRowHeight="14.4" x14ac:dyDescent="0.3"/>
  <cols>
    <col min="1" max="1" width="23.5546875" customWidth="1"/>
    <col min="2" max="2" width="15.6640625" bestFit="1" customWidth="1"/>
    <col min="3" max="3" width="23.44140625" customWidth="1"/>
    <col min="4" max="14" width="16.88671875" customWidth="1"/>
    <col min="15" max="41" width="13" customWidth="1"/>
    <col min="42" max="42" width="22.5546875" customWidth="1"/>
    <col min="43" max="48" width="17.6640625" customWidth="1"/>
    <col min="49" max="52" width="14.33203125" customWidth="1"/>
    <col min="53" max="55" width="10.44140625" customWidth="1"/>
    <col min="56" max="56" width="12.33203125" bestFit="1" customWidth="1"/>
    <col min="57" max="58" width="11" bestFit="1" customWidth="1"/>
  </cols>
  <sheetData>
    <row r="1" spans="1:41" ht="21" x14ac:dyDescent="0.4">
      <c r="A1" s="48" t="s">
        <v>174</v>
      </c>
      <c r="D1" s="49"/>
      <c r="E1" s="49"/>
      <c r="F1" s="49"/>
      <c r="G1" s="49"/>
      <c r="H1" s="49"/>
      <c r="I1" s="49"/>
      <c r="J1" s="49"/>
      <c r="K1" s="49"/>
      <c r="L1" s="49"/>
      <c r="M1" s="49"/>
      <c r="N1" s="49"/>
      <c r="O1" s="49"/>
    </row>
    <row r="2" spans="1:41" ht="79.5" customHeight="1" x14ac:dyDescent="0.3">
      <c r="A2" s="217" t="s">
        <v>175</v>
      </c>
      <c r="B2" s="217"/>
      <c r="C2" s="217"/>
      <c r="D2" s="217"/>
      <c r="E2" s="217"/>
      <c r="F2" s="217"/>
      <c r="G2" s="217"/>
    </row>
    <row r="4" spans="1:41" x14ac:dyDescent="0.3">
      <c r="A4" s="14" t="s">
        <v>2</v>
      </c>
      <c r="D4" s="14" t="s">
        <v>3</v>
      </c>
    </row>
    <row r="5" spans="1:41" x14ac:dyDescent="0.3">
      <c r="A5" s="14" t="s">
        <v>4</v>
      </c>
      <c r="B5" s="14" t="s">
        <v>5</v>
      </c>
      <c r="C5" s="14" t="s">
        <v>6</v>
      </c>
      <c r="D5" s="15">
        <v>42370</v>
      </c>
      <c r="E5" s="15">
        <v>42461</v>
      </c>
      <c r="F5" s="15">
        <v>42552</v>
      </c>
      <c r="G5" s="15">
        <v>42644</v>
      </c>
      <c r="H5" s="15">
        <v>42736</v>
      </c>
      <c r="I5" s="15">
        <v>42826</v>
      </c>
      <c r="J5" s="15">
        <v>42917</v>
      </c>
      <c r="K5" s="15">
        <v>43009</v>
      </c>
      <c r="L5" s="15">
        <v>43101</v>
      </c>
      <c r="M5" s="15">
        <v>43191</v>
      </c>
      <c r="N5" s="15">
        <v>43282</v>
      </c>
      <c r="O5" s="15">
        <v>43374</v>
      </c>
      <c r="P5" s="15">
        <v>43466</v>
      </c>
      <c r="Q5" s="15">
        <v>43556</v>
      </c>
      <c r="R5" s="15">
        <v>43647</v>
      </c>
      <c r="S5" s="15">
        <v>43739</v>
      </c>
      <c r="T5" s="15">
        <v>43831</v>
      </c>
      <c r="U5" s="15">
        <v>43922</v>
      </c>
      <c r="V5" s="15">
        <v>44013</v>
      </c>
      <c r="W5" s="15">
        <v>44105</v>
      </c>
      <c r="X5" s="15">
        <v>44197</v>
      </c>
      <c r="Y5" s="15">
        <v>44287</v>
      </c>
      <c r="Z5" s="15">
        <v>44378</v>
      </c>
      <c r="AA5" s="15">
        <v>44470</v>
      </c>
      <c r="AB5" s="15">
        <v>44562</v>
      </c>
      <c r="AC5" s="15">
        <v>44652</v>
      </c>
      <c r="AD5" s="15">
        <v>44743</v>
      </c>
      <c r="AE5" s="15">
        <v>44835</v>
      </c>
      <c r="AF5" s="15">
        <v>44927</v>
      </c>
      <c r="AG5" s="15">
        <v>45017</v>
      </c>
      <c r="AH5" s="15">
        <v>45108</v>
      </c>
      <c r="AI5" s="15">
        <v>45200</v>
      </c>
      <c r="AJ5" s="15">
        <v>45292</v>
      </c>
      <c r="AK5" s="15">
        <v>45383</v>
      </c>
      <c r="AL5" s="15">
        <v>45474</v>
      </c>
      <c r="AM5" s="15">
        <v>45566</v>
      </c>
      <c r="AN5" s="15">
        <v>45658</v>
      </c>
      <c r="AO5" s="103"/>
    </row>
    <row r="6" spans="1:41" x14ac:dyDescent="0.3">
      <c r="A6" t="s">
        <v>123</v>
      </c>
      <c r="B6" t="s">
        <v>82</v>
      </c>
      <c r="C6" t="s">
        <v>82</v>
      </c>
      <c r="D6">
        <v>64.497709</v>
      </c>
      <c r="E6">
        <v>62.848443000000003</v>
      </c>
      <c r="F6">
        <v>62.995120999999997</v>
      </c>
      <c r="G6">
        <v>62.479680999999999</v>
      </c>
      <c r="H6">
        <v>62.677536000000003</v>
      </c>
      <c r="I6">
        <v>63.038142999999998</v>
      </c>
      <c r="J6">
        <v>63.490310000000001</v>
      </c>
      <c r="K6">
        <v>61.334682000000001</v>
      </c>
      <c r="L6">
        <v>61.852632999999997</v>
      </c>
      <c r="M6">
        <v>61.116908000000002</v>
      </c>
      <c r="N6">
        <v>60.805055000000003</v>
      </c>
      <c r="O6">
        <v>59.728518000000001</v>
      </c>
      <c r="P6">
        <v>60.130837999999997</v>
      </c>
      <c r="Q6">
        <v>59.68497</v>
      </c>
      <c r="R6">
        <v>57.023997999999999</v>
      </c>
      <c r="S6">
        <v>55.806162</v>
      </c>
      <c r="T6">
        <v>55.325642000000002</v>
      </c>
      <c r="U6">
        <v>55.784185999999998</v>
      </c>
      <c r="V6">
        <v>55.025322000000003</v>
      </c>
      <c r="W6">
        <v>52.894784999999999</v>
      </c>
      <c r="X6">
        <v>53.552016000000002</v>
      </c>
      <c r="Y6">
        <v>53.657761000000001</v>
      </c>
      <c r="Z6">
        <v>53.672823000000001</v>
      </c>
      <c r="AA6">
        <v>53.984381999999997</v>
      </c>
      <c r="AB6">
        <v>53.709029999999998</v>
      </c>
      <c r="AC6">
        <v>53.340283999999997</v>
      </c>
      <c r="AD6">
        <v>54.008096000000002</v>
      </c>
      <c r="AE6">
        <v>52.456783999999999</v>
      </c>
      <c r="AF6">
        <v>49.618988000000002</v>
      </c>
      <c r="AG6">
        <v>51.528275999999998</v>
      </c>
      <c r="AH6">
        <v>52.950693999999999</v>
      </c>
      <c r="AI6">
        <v>49.234352999999999</v>
      </c>
      <c r="AJ6">
        <v>48.789062999999999</v>
      </c>
      <c r="AK6">
        <v>47.912751</v>
      </c>
      <c r="AL6">
        <v>48.653191999999997</v>
      </c>
      <c r="AM6">
        <v>49.801121000000002</v>
      </c>
      <c r="AN6">
        <v>45.677177999999998</v>
      </c>
    </row>
    <row r="7" spans="1:41" x14ac:dyDescent="0.3">
      <c r="B7" t="s">
        <v>18</v>
      </c>
      <c r="C7" t="s">
        <v>18</v>
      </c>
      <c r="D7">
        <v>56.379038000000001</v>
      </c>
      <c r="E7">
        <v>51.309482000000003</v>
      </c>
      <c r="F7">
        <v>51.127991000000002</v>
      </c>
      <c r="G7">
        <v>48.720706</v>
      </c>
      <c r="H7">
        <v>46.351509999999998</v>
      </c>
      <c r="I7">
        <v>47.582414</v>
      </c>
      <c r="J7">
        <v>47.061188000000001</v>
      </c>
      <c r="K7">
        <v>47.447875000000003</v>
      </c>
      <c r="L7">
        <v>45.212212999999998</v>
      </c>
      <c r="M7">
        <v>46.029558999999999</v>
      </c>
      <c r="N7">
        <v>45.337699999999998</v>
      </c>
      <c r="O7">
        <v>44.345942000000001</v>
      </c>
      <c r="P7">
        <v>39.512534000000002</v>
      </c>
      <c r="Q7">
        <v>38.918771</v>
      </c>
      <c r="R7">
        <v>38.965134999999997</v>
      </c>
      <c r="S7">
        <v>37.381453</v>
      </c>
      <c r="T7">
        <v>36.606195999999997</v>
      </c>
      <c r="U7">
        <v>43.720219999999998</v>
      </c>
      <c r="V7">
        <v>42.808405999999998</v>
      </c>
      <c r="W7">
        <v>44.646799999999999</v>
      </c>
      <c r="X7">
        <v>43.230877999999997</v>
      </c>
      <c r="Y7">
        <v>40.469614999999997</v>
      </c>
      <c r="Z7">
        <v>41.843519000000001</v>
      </c>
      <c r="AA7">
        <v>42.091814999999997</v>
      </c>
      <c r="AB7">
        <v>42.352676000000002</v>
      </c>
      <c r="AC7">
        <v>40.411079999999998</v>
      </c>
      <c r="AD7">
        <v>41.363484</v>
      </c>
      <c r="AE7">
        <v>42.012034</v>
      </c>
      <c r="AF7">
        <v>45.526927999999998</v>
      </c>
      <c r="AG7">
        <v>44.291652999999997</v>
      </c>
      <c r="AH7">
        <v>44.744835000000002</v>
      </c>
      <c r="AI7">
        <v>45.831619000000003</v>
      </c>
      <c r="AJ7">
        <v>46.527217</v>
      </c>
      <c r="AK7">
        <v>43.619804999999999</v>
      </c>
      <c r="AL7">
        <v>42.927725000000002</v>
      </c>
      <c r="AM7">
        <v>46.424750000000003</v>
      </c>
      <c r="AN7">
        <v>46.052311000000003</v>
      </c>
    </row>
    <row r="8" spans="1:41" x14ac:dyDescent="0.3">
      <c r="B8" t="s">
        <v>19</v>
      </c>
      <c r="C8" t="s">
        <v>19</v>
      </c>
      <c r="K8">
        <v>33.64</v>
      </c>
      <c r="L8">
        <v>48.755915000000002</v>
      </c>
      <c r="M8">
        <v>36.380665</v>
      </c>
      <c r="N8">
        <v>37.423884000000001</v>
      </c>
      <c r="O8">
        <v>34.957965000000002</v>
      </c>
      <c r="P8">
        <v>53.912984999999999</v>
      </c>
      <c r="Q8">
        <v>44.743946999999999</v>
      </c>
      <c r="R8">
        <v>29.880027999999999</v>
      </c>
      <c r="S8">
        <v>28.248653000000001</v>
      </c>
      <c r="T8">
        <v>27.322922999999999</v>
      </c>
      <c r="U8">
        <v>30.180482000000001</v>
      </c>
      <c r="V8">
        <v>64.024272999999994</v>
      </c>
      <c r="W8">
        <v>39.460264000000002</v>
      </c>
      <c r="X8">
        <v>63.839466000000002</v>
      </c>
      <c r="Y8">
        <v>298.40747599999997</v>
      </c>
      <c r="Z8">
        <v>48.947758999999998</v>
      </c>
      <c r="AA8">
        <v>-1561.2142200000001</v>
      </c>
      <c r="AB8">
        <v>44.805197999999997</v>
      </c>
      <c r="AC8">
        <v>39.855713000000002</v>
      </c>
      <c r="AD8">
        <v>19.692378000000001</v>
      </c>
      <c r="AE8">
        <v>43.538514999999997</v>
      </c>
      <c r="AF8">
        <v>46.658309000000003</v>
      </c>
      <c r="AG8">
        <v>32.456212000000001</v>
      </c>
      <c r="AH8">
        <v>32.833112</v>
      </c>
      <c r="AI8">
        <v>29.250657</v>
      </c>
      <c r="AJ8">
        <v>32.701335999999998</v>
      </c>
      <c r="AK8">
        <v>31.864189</v>
      </c>
      <c r="AL8">
        <v>34.643231</v>
      </c>
      <c r="AM8">
        <v>45.627907999999998</v>
      </c>
      <c r="AN8">
        <v>18.651433999999998</v>
      </c>
    </row>
    <row r="9" spans="1:41" x14ac:dyDescent="0.3">
      <c r="B9" t="s">
        <v>15</v>
      </c>
      <c r="C9" t="s">
        <v>176</v>
      </c>
      <c r="D9">
        <v>31.85</v>
      </c>
      <c r="E9">
        <v>31.85</v>
      </c>
      <c r="F9">
        <v>31.85</v>
      </c>
      <c r="G9">
        <v>31.830390999999999</v>
      </c>
      <c r="H9">
        <v>31.787837</v>
      </c>
      <c r="I9">
        <v>31.743455000000001</v>
      </c>
      <c r="J9">
        <v>31.744263</v>
      </c>
      <c r="K9">
        <v>26.032717999999999</v>
      </c>
      <c r="L9">
        <v>109.00094900000001</v>
      </c>
      <c r="M9">
        <v>108.84683800000001</v>
      </c>
      <c r="N9">
        <v>109.22977</v>
      </c>
      <c r="O9">
        <v>109.244354</v>
      </c>
      <c r="P9">
        <v>109.168012</v>
      </c>
      <c r="Q9">
        <v>108.98738899999999</v>
      </c>
      <c r="R9">
        <v>108.85016899999999</v>
      </c>
      <c r="S9">
        <v>108.763722</v>
      </c>
      <c r="T9">
        <v>107.486639</v>
      </c>
      <c r="U9">
        <v>107.604968</v>
      </c>
      <c r="V9">
        <v>107.616692</v>
      </c>
      <c r="W9">
        <v>107.669529</v>
      </c>
      <c r="X9">
        <v>62.483383000000003</v>
      </c>
      <c r="Y9">
        <v>51.473050000000001</v>
      </c>
      <c r="Z9">
        <v>2.309669</v>
      </c>
      <c r="AA9">
        <v>-1.499957</v>
      </c>
      <c r="AB9">
        <v>27.170753999999999</v>
      </c>
      <c r="AC9">
        <v>2.214486</v>
      </c>
      <c r="AD9">
        <v>-19.098078999999998</v>
      </c>
      <c r="AE9">
        <v>-10.68117</v>
      </c>
      <c r="AF9">
        <v>2.8656380000000001</v>
      </c>
      <c r="AG9">
        <v>-112.77164999999999</v>
      </c>
      <c r="AH9">
        <v>-78.065922999999998</v>
      </c>
      <c r="AI9">
        <v>-81.318068999999994</v>
      </c>
      <c r="AJ9">
        <v>2.5585830000000001</v>
      </c>
      <c r="AK9">
        <v>2.053585</v>
      </c>
      <c r="AL9">
        <v>-33.915694000000002</v>
      </c>
      <c r="AM9">
        <v>-38.781764000000003</v>
      </c>
      <c r="AN9">
        <v>-20.419492000000002</v>
      </c>
    </row>
    <row r="10" spans="1:41" x14ac:dyDescent="0.3">
      <c r="C10" t="s">
        <v>29</v>
      </c>
      <c r="O10">
        <v>39.26</v>
      </c>
      <c r="P10">
        <v>39.26</v>
      </c>
      <c r="Q10">
        <v>39.26</v>
      </c>
      <c r="R10">
        <v>39.26</v>
      </c>
      <c r="S10">
        <v>39.26</v>
      </c>
      <c r="T10">
        <v>39.26</v>
      </c>
      <c r="U10">
        <v>39.26</v>
      </c>
      <c r="V10">
        <v>45</v>
      </c>
      <c r="W10">
        <v>45</v>
      </c>
      <c r="X10">
        <v>30.426911</v>
      </c>
      <c r="Y10">
        <v>37.5</v>
      </c>
      <c r="Z10">
        <v>33</v>
      </c>
      <c r="AA10">
        <v>37.5</v>
      </c>
      <c r="AB10">
        <v>43.5</v>
      </c>
      <c r="AC10">
        <v>24.002520000000001</v>
      </c>
      <c r="AD10">
        <v>20.5</v>
      </c>
      <c r="AE10">
        <v>26</v>
      </c>
      <c r="AF10">
        <v>20.5</v>
      </c>
      <c r="AG10">
        <v>20.5</v>
      </c>
      <c r="AH10">
        <v>20.5</v>
      </c>
      <c r="AI10">
        <v>20.5</v>
      </c>
    </row>
    <row r="11" spans="1:41" x14ac:dyDescent="0.3">
      <c r="C11" t="s">
        <v>16</v>
      </c>
      <c r="D11">
        <v>48.71</v>
      </c>
      <c r="E11">
        <v>59.95</v>
      </c>
      <c r="F11">
        <v>43.135008999999997</v>
      </c>
      <c r="G11">
        <v>41.303731999999997</v>
      </c>
      <c r="H11">
        <v>53.120438999999998</v>
      </c>
      <c r="I11">
        <v>52.154767999999997</v>
      </c>
      <c r="J11">
        <v>48.007739000000001</v>
      </c>
      <c r="K11">
        <v>45.111696999999999</v>
      </c>
      <c r="L11">
        <v>56.240825999999998</v>
      </c>
      <c r="M11">
        <v>58.58325</v>
      </c>
      <c r="N11">
        <v>58.725583</v>
      </c>
      <c r="O11">
        <v>59.574649999999998</v>
      </c>
      <c r="P11">
        <v>59.438955</v>
      </c>
      <c r="Q11">
        <v>59.490509000000003</v>
      </c>
      <c r="R11">
        <v>59.655835000000003</v>
      </c>
      <c r="S11">
        <v>55.287379999999999</v>
      </c>
      <c r="T11">
        <v>58.600943000000001</v>
      </c>
      <c r="U11">
        <v>58.880141999999999</v>
      </c>
      <c r="V11">
        <v>52.934475999999997</v>
      </c>
      <c r="W11">
        <v>52.835273000000001</v>
      </c>
      <c r="X11">
        <v>51.284272000000001</v>
      </c>
      <c r="Y11">
        <v>44.692737000000001</v>
      </c>
      <c r="Z11">
        <v>9.7770899999999994</v>
      </c>
      <c r="AA11">
        <v>-2.982253</v>
      </c>
      <c r="AB11">
        <v>-10.223516</v>
      </c>
      <c r="AC11">
        <v>16.042795000000002</v>
      </c>
      <c r="AD11">
        <v>52.637411</v>
      </c>
      <c r="AE11">
        <v>12.733893999999999</v>
      </c>
      <c r="AF11">
        <v>-82.821997999999994</v>
      </c>
      <c r="AG11">
        <v>-189.22628399999999</v>
      </c>
      <c r="AH11">
        <v>-233.338233</v>
      </c>
      <c r="AI11">
        <v>-235.56300100000001</v>
      </c>
      <c r="AJ11">
        <v>-13.006612000000001</v>
      </c>
      <c r="AK11">
        <v>9.7987830000000002</v>
      </c>
      <c r="AL11">
        <v>24.311437999999999</v>
      </c>
      <c r="AM11">
        <v>10.417018000000001</v>
      </c>
      <c r="AN11">
        <v>8.0857030000000005</v>
      </c>
    </row>
    <row r="14" spans="1:41" x14ac:dyDescent="0.3">
      <c r="AO14" s="15"/>
    </row>
    <row r="15" spans="1:41" ht="15.6" x14ac:dyDescent="0.3">
      <c r="D15" s="218" t="s">
        <v>177</v>
      </c>
      <c r="E15" s="218"/>
      <c r="F15" s="218"/>
      <c r="G15" s="218"/>
      <c r="H15" s="218"/>
      <c r="I15" s="218"/>
      <c r="J15" s="218"/>
      <c r="K15" s="218"/>
      <c r="L15" s="218"/>
      <c r="AO15" s="26"/>
    </row>
    <row r="16" spans="1:41" x14ac:dyDescent="0.3">
      <c r="AO16" s="26"/>
    </row>
    <row r="17" spans="3:41" ht="15" thickBot="1" x14ac:dyDescent="0.35">
      <c r="C17" s="21" t="s">
        <v>165</v>
      </c>
      <c r="D17" s="111">
        <v>2016</v>
      </c>
      <c r="E17" s="111">
        <v>2017</v>
      </c>
      <c r="F17" s="111">
        <v>2018</v>
      </c>
      <c r="G17" s="111">
        <v>2019</v>
      </c>
      <c r="H17" s="111">
        <v>2020</v>
      </c>
      <c r="I17" s="111">
        <v>2021</v>
      </c>
      <c r="J17" s="111">
        <v>2022</v>
      </c>
      <c r="K17" s="111">
        <v>2023</v>
      </c>
      <c r="L17" s="111">
        <v>2024</v>
      </c>
      <c r="M17" s="191" t="s">
        <v>126</v>
      </c>
      <c r="N17" s="191" t="s">
        <v>127</v>
      </c>
      <c r="AO17" s="8"/>
    </row>
    <row r="18" spans="3:41" x14ac:dyDescent="0.3">
      <c r="C18" t="s">
        <v>82</v>
      </c>
      <c r="D18" s="8">
        <f>D6*(Forecast_Main!H80/SUM(Forecast_Main!H80:K80))+'CI Trend'!E6*(Forecast_Main!I80/SUM(Forecast_Main!H80:K80))+'CI Trend'!F6*(Forecast_Main!J80/SUM(Forecast_Main!H80:K80))+G6*(Forecast_Main!K80/SUM(Forecast_Main!H80:K80))</f>
        <v>63.279508183586699</v>
      </c>
      <c r="E18" s="8">
        <f>H6*(Forecast_Main!L80/SUM(Forecast_Main!L80:O80))+'CI Trend'!I6*(Forecast_Main!M80/SUM(Forecast_Main!L80:O80))+'CI Trend'!J6*(Forecast_Main!N80/SUM(Forecast_Main!L80:O80))+K6*(Forecast_Main!O80/SUM(Forecast_Main!L80:O80))</f>
        <v>62.668089273542883</v>
      </c>
      <c r="F18" s="8">
        <f>L6*(Forecast_Main!P80/SUM(Forecast_Main!P80:S80))+'CI Trend'!M6*(Forecast_Main!Q80/SUM(Forecast_Main!P80:S80))+'CI Trend'!N6*(Forecast_Main!R80/SUM(Forecast_Main!P80:S80))+O6*(Forecast_Main!S80/SUM(Forecast_Main!P80:S80))</f>
        <v>60.861324184509172</v>
      </c>
      <c r="G18" s="8">
        <f>P6*(Forecast_Main!T80/SUM(Forecast_Main!T80:W80))+'CI Trend'!Q6*(Forecast_Main!U80/SUM(Forecast_Main!T80:W80))+'CI Trend'!R6*(Forecast_Main!V80/SUM(Forecast_Main!T80:W80))+S6*(Forecast_Main!W80/SUM(Forecast_Main!T80:W80))</f>
        <v>58.088168657160466</v>
      </c>
      <c r="H18" s="8">
        <f>T6*(Forecast_Main!X80/SUM(Forecast_Main!X80:AA80))+'CI Trend'!U6*(Forecast_Main!Y80/SUM(Forecast_Main!X80:AA80))+'CI Trend'!V6*(Forecast_Main!Z80/SUM(Forecast_Main!X80:AA80))+W6*(Forecast_Main!AA80/SUM(Forecast_Main!X80:AA80))</f>
        <v>54.762173286391274</v>
      </c>
      <c r="I18" s="8">
        <f>X6*(Forecast_Main!AB80/SUM(Forecast_Main!AB80:AE80))+'CI Trend'!Y6*(Forecast_Main!AC80/SUM(Forecast_Main!AB80:AE80))+'CI Trend'!Z6*(Forecast_Main!AD80/SUM(Forecast_Main!AB80:AE80))+AA6*(Forecast_Main!AE80/SUM(Forecast_Main!AB80:AE80))</f>
        <v>53.719608653544384</v>
      </c>
      <c r="J18" s="8">
        <f>AB6*(Forecast_Main!AF80/SUM(Forecast_Main!AF80:AI80))+'CI Trend'!AC6*(Forecast_Main!AG80/SUM(Forecast_Main!AF80:AI80))+'CI Trend'!AD6*(Forecast_Main!AH80/SUM(Forecast_Main!AF80:AI80))+AE6*(Forecast_Main!AI80/SUM(Forecast_Main!AF80:AI80))</f>
        <v>53.405939492858124</v>
      </c>
      <c r="K18" s="8">
        <f>(AF6*Forecast_Main!AJ80+AG6*Forecast_Main!AK80+AH6*Forecast_Main!AL80+AI6*Forecast_Main!AM80)/SUM(Forecast_Main!AJ80:AM80)</f>
        <v>50.862559158228585</v>
      </c>
      <c r="L18" s="8">
        <f>(AJ6*Forecast_Main!AN80+AK6*Forecast_Main!AO80+AL6*Forecast_Main!AP80+AM6*Forecast_Main!AQ80)/SUM(Forecast_Main!AN80:AQ80)</f>
        <v>48.767268160834035</v>
      </c>
      <c r="M18" s="192">
        <f>CIA_eth_T1</f>
        <v>48</v>
      </c>
      <c r="N18" s="192">
        <f>CIA_Eth_T0</f>
        <v>47.5</v>
      </c>
    </row>
    <row r="19" spans="3:41" x14ac:dyDescent="0.3">
      <c r="C19" t="s">
        <v>18</v>
      </c>
      <c r="D19" s="8">
        <f>D7*(Forecast_Main!H86/SUM(Forecast_Main!H86:K86))+'CI Trend'!E7*(Forecast_Main!I86/SUM(Forecast_Main!H86:K86))+'CI Trend'!F7*(Forecast_Main!J86/SUM(Forecast_Main!H86:K86))+G7*(Forecast_Main!K86/SUM(Forecast_Main!H86:K86))</f>
        <v>51.899744869742058</v>
      </c>
      <c r="E19" s="8">
        <f>H7*(Forecast_Main!L86/SUM(Forecast_Main!L86:O86))+'CI Trend'!I7*(Forecast_Main!M86/SUM(Forecast_Main!L86:O86))+'CI Trend'!J7*(Forecast_Main!N86/SUM(Forecast_Main!L86:O86))+K7*(Forecast_Main!O86/SUM(Forecast_Main!L86:O86))</f>
        <v>47.178761173694923</v>
      </c>
      <c r="F19" s="8">
        <f>L7*(Forecast_Main!P86/SUM(Forecast_Main!P86:S86))+'CI Trend'!M7*(Forecast_Main!Q86/SUM(Forecast_Main!P86:S86))+'CI Trend'!N7*(Forecast_Main!R86/SUM(Forecast_Main!P86:S86))+O7*(Forecast_Main!S86/SUM(Forecast_Main!P86:S86))</f>
        <v>45.23616850730842</v>
      </c>
      <c r="G19" s="8">
        <f>P7*(Forecast_Main!T86/SUM(Forecast_Main!T86:W86))+'CI Trend'!Q7*(Forecast_Main!U86/SUM(Forecast_Main!T86:W86))+'CI Trend'!R7*(Forecast_Main!V86/SUM(Forecast_Main!T86:W86))+S7*(Forecast_Main!W86/SUM(Forecast_Main!T86:W86))</f>
        <v>38.652276935136072</v>
      </c>
      <c r="H19" s="8">
        <f>T7*(Forecast_Main!X86/SUM(Forecast_Main!X86:AA86))+'CI Trend'!U7*(Forecast_Main!Y86/SUM(Forecast_Main!X86:AA86))+'CI Trend'!V7*(Forecast_Main!Z86/SUM(Forecast_Main!X86:AA86))+W7*(Forecast_Main!AA86/SUM(Forecast_Main!X86:AA86))</f>
        <v>42.134070120242114</v>
      </c>
      <c r="I19" s="8">
        <f>X7*(Forecast_Main!AB86/SUM(Forecast_Main!AB86:AE86))+'CI Trend'!Y7*(Forecast_Main!AC86/SUM(Forecast_Main!AB86:AE86))+'CI Trend'!Z7*(Forecast_Main!AD86/SUM(Forecast_Main!AB86:AE86))+AA7*(Forecast_Main!AE86/SUM(Forecast_Main!AB86:AE86))</f>
        <v>41.818345202556273</v>
      </c>
      <c r="J19" s="8">
        <f>AB7*(Forecast_Main!AF86/SUM(Forecast_Main!AF86:AI86))+'CI Trend'!AC7*(Forecast_Main!AG86/SUM(Forecast_Main!AF86:AI86))+'CI Trend'!AD7*(Forecast_Main!AH86/SUM(Forecast_Main!AF86:AI86))+AE7*(Forecast_Main!AI86/SUM(Forecast_Main!AF86:AI86))</f>
        <v>41.485920114815869</v>
      </c>
      <c r="K19" s="8">
        <f>(AF7*Forecast_Main!AJ86+AG7*Forecast_Main!AK86+AH7*Forecast_Main!AL86+AI7*Forecast_Main!AM86)/SUM(Forecast_Main!AJ86:AM86)</f>
        <v>45.102602015261319</v>
      </c>
      <c r="L19" s="8">
        <f>(AJ7*Forecast_Main!AN86+AK7*Forecast_Main!AO86+AL7*Forecast_Main!AP86+AM7*Forecast_Main!AQ86)/SUM(Forecast_Main!AN86:AQ86)</f>
        <v>44.796984921395357</v>
      </c>
      <c r="M19" s="192">
        <f>CIA_Bio_T1</f>
        <v>43.5</v>
      </c>
      <c r="N19" s="192">
        <f>CIA_bio_T0</f>
        <v>42.5</v>
      </c>
    </row>
    <row r="20" spans="3:41" x14ac:dyDescent="0.3">
      <c r="C20" t="s">
        <v>19</v>
      </c>
      <c r="D20" s="8"/>
      <c r="E20" s="8">
        <f>H8*(Forecast_Main!L88/SUM(Forecast_Main!L88:O88))+'CI Trend'!I8*(Forecast_Main!M88/SUM(Forecast_Main!L88:O88))+'CI Trend'!J8*(Forecast_Main!N88/SUM(Forecast_Main!L88:O88))+K8*(Forecast_Main!O88/SUM(Forecast_Main!L88:O88))</f>
        <v>33.64</v>
      </c>
      <c r="F20" s="8">
        <f>L8*(Forecast_Main!P88/SUM(Forecast_Main!P88:S88))+'CI Trend'!M8*(Forecast_Main!Q88/SUM(Forecast_Main!P88:S88))+'CI Trend'!N8*(Forecast_Main!R88/SUM(Forecast_Main!P88:S88))+O8*(Forecast_Main!S88/SUM(Forecast_Main!P88:S88))</f>
        <v>39.096643567308845</v>
      </c>
      <c r="G20" s="8">
        <f>P8*(Forecast_Main!T88/SUM(Forecast_Main!T88:W88))+'CI Trend'!Q8*(Forecast_Main!U88/SUM(Forecast_Main!T88:W88))+'CI Trend'!R8*(Forecast_Main!V88/SUM(Forecast_Main!T88:W88))+S8*(Forecast_Main!W88/SUM(Forecast_Main!T88:W88))</f>
        <v>30.108656695078217</v>
      </c>
      <c r="H20" s="8">
        <f>T8*(Forecast_Main!X88/SUM(Forecast_Main!X88:AA88))+'CI Trend'!U8*(Forecast_Main!Y88/SUM(Forecast_Main!X88:AA88))+'CI Trend'!V8*(Forecast_Main!Z88/SUM(Forecast_Main!X88:AA88))+W8*(Forecast_Main!AA88/SUM(Forecast_Main!X88:AA88))</f>
        <v>31.482287494200339</v>
      </c>
      <c r="I20" s="8">
        <f>X8*(Forecast_Main!AB88/SUM(Forecast_Main!AB88:AE88))+'CI Trend'!Y8*(Forecast_Main!AC88/SUM(Forecast_Main!AB88:AE88))+'CI Trend'!Z8*(Forecast_Main!AD88/SUM(Forecast_Main!AB88:AE88))+AA8*(Forecast_Main!AE88/SUM(Forecast_Main!AB88:AE88))</f>
        <v>36.96308052279371</v>
      </c>
      <c r="J20" s="8">
        <f>AB8*(Forecast_Main!AF88/SUM(Forecast_Main!AF88:AI88))+'CI Trend'!AC8*(Forecast_Main!AG88/SUM(Forecast_Main!AF88:AI88))+'CI Trend'!AD8*(Forecast_Main!AH88/SUM(Forecast_Main!AF88:AI88))+AE8*(Forecast_Main!AI88/SUM(Forecast_Main!AF88:AI88))</f>
        <v>39.152291668538297</v>
      </c>
      <c r="K20" s="8">
        <f>(AF8*Forecast_Main!AJ88+AG8*Forecast_Main!AK88+AH8*Forecast_Main!AL88+AI8*Forecast_Main!AM88)/SUM(Forecast_Main!AJ88:AM88)</f>
        <v>34.30998438270273</v>
      </c>
      <c r="L20" s="8">
        <f>(AJ8*Forecast_Main!AN88+AK8*Forecast_Main!AO88+AL8*Forecast_Main!AP88+AM8*Forecast_Main!AQ88)/SUM(Forecast_Main!AN88:AQ88)</f>
        <v>35.635227522563746</v>
      </c>
      <c r="M20" s="192">
        <f>CIA_ren_T1</f>
        <v>36</v>
      </c>
      <c r="N20" s="192">
        <f>CIA_ren_T0</f>
        <v>37</v>
      </c>
    </row>
    <row r="21" spans="3:41" x14ac:dyDescent="0.3">
      <c r="C21" t="s">
        <v>176</v>
      </c>
      <c r="D21" s="8"/>
      <c r="E21" s="8">
        <f>H9*(Forecast_Main!L96/SUM(Forecast_Main!L96:O96))+'CI Trend'!I9*(Forecast_Main!M96/SUM(Forecast_Main!L96:O96))+'CI Trend'!J9*(Forecast_Main!N96/SUM(Forecast_Main!L96:O96))+K9*(Forecast_Main!O96/SUM(Forecast_Main!L96:O96))</f>
        <v>30.31565042523868</v>
      </c>
      <c r="F21" s="8">
        <f>L9*(Forecast_Main!P96/SUM(Forecast_Main!P96:S96))+'CI Trend'!M9*(Forecast_Main!Q96/SUM(Forecast_Main!P96:S96))+'CI Trend'!N9*(Forecast_Main!R96/SUM(Forecast_Main!P96:S96))+O9*(Forecast_Main!S96/SUM(Forecast_Main!P96:S96))</f>
        <v>109.08270481032878</v>
      </c>
      <c r="G21" s="8">
        <f>P9*(Forecast_Main!T96/SUM(Forecast_Main!T96:W96))+'CI Trend'!Q9*(Forecast_Main!U96/SUM(Forecast_Main!T96:W96))+'CI Trend'!R9*(Forecast_Main!V96/SUM(Forecast_Main!T96:W96))+S9*(Forecast_Main!W96/SUM(Forecast_Main!T96:W96))</f>
        <v>108.93995700750872</v>
      </c>
      <c r="H21" s="8">
        <f>T9*(Forecast_Main!X96/SUM(Forecast_Main!X96:AA96))+'CI Trend'!U9*(Forecast_Main!Y96/SUM(Forecast_Main!X96:AA96))+'CI Trend'!V9*(Forecast_Main!Z96/SUM(Forecast_Main!X96:AA96))+W9*(Forecast_Main!AA96/SUM(Forecast_Main!X96:AA96))</f>
        <v>107.5948200516597</v>
      </c>
      <c r="I21" s="8">
        <f>X9*(Forecast_Main!AB96/SUM(Forecast_Main!AB96:AE96))+'CI Trend'!Y9*(Forecast_Main!AC96/SUM(Forecast_Main!AB96:AE96))+'CI Trend'!Z9*(Forecast_Main!AD96/SUM(Forecast_Main!AB96:AE96))+AA9*(Forecast_Main!AE96/SUM(Forecast_Main!AB96:AE96))</f>
        <v>25.658485733600305</v>
      </c>
      <c r="J21" s="8">
        <f>AB9*(Forecast_Main!AF96/SUM(Forecast_Main!AF96:AI96))+'CI Trend'!AC9*(Forecast_Main!AG96/SUM(Forecast_Main!AF96:AI96))+'CI Trend'!AD9*(Forecast_Main!AH96/SUM(Forecast_Main!AF96:AI96))+AE9*(Forecast_Main!AI96/SUM(Forecast_Main!AF96:AI96))</f>
        <v>-0.74278796256412782</v>
      </c>
      <c r="K21" s="8">
        <f>(AF9*Forecast_Main!AJ96+AG9*Forecast_Main!AK96+AH9*Forecast_Main!AL96+AI9*Forecast_Main!AM96)/SUM(Forecast_Main!AJ96:AM96)</f>
        <v>-69.292661374151109</v>
      </c>
      <c r="L21" s="8">
        <f>(AJ9*Forecast_Main!AN96+AK9*Forecast_Main!AO96+AL9*Forecast_Main!AP96+AM9*Forecast_Main!AQ96)/SUM(Forecast_Main!AN96:AQ96)</f>
        <v>-18.666264620428358</v>
      </c>
      <c r="M21" s="192">
        <f>+CIA_eon_T1</f>
        <v>0</v>
      </c>
      <c r="N21" s="192">
        <f>+CIA_eon_T0</f>
        <v>0</v>
      </c>
      <c r="AO21" s="26"/>
    </row>
    <row r="22" spans="3:41" x14ac:dyDescent="0.3">
      <c r="C22" t="s">
        <v>178</v>
      </c>
      <c r="D22" s="8"/>
      <c r="E22" s="8">
        <f>H10*(Forecast_Main!L89/SUM(Forecast_Main!L89:O89))+'CI Trend'!I10*(Forecast_Main!M89/SUM(Forecast_Main!L89:O89))+'CI Trend'!J10*(Forecast_Main!N89/SUM(Forecast_Main!L89:O89))+K10*(Forecast_Main!O89/SUM(Forecast_Main!L89:O89))</f>
        <v>0</v>
      </c>
      <c r="F22" s="8">
        <f>L10*(Forecast_Main!P89/SUM(Forecast_Main!P89:S89))+'CI Trend'!M10*(Forecast_Main!Q89/SUM(Forecast_Main!P89:S89))+'CI Trend'!N10*(Forecast_Main!R89/SUM(Forecast_Main!P89:S89))+O10*(Forecast_Main!S89/SUM(Forecast_Main!P89:S89))</f>
        <v>16.157877494904838</v>
      </c>
      <c r="G22" s="8">
        <f>P10*(Forecast_Main!T89/SUM(Forecast_Main!T89:W89))+'CI Trend'!Q10*(Forecast_Main!U89/SUM(Forecast_Main!T89:W89))+'CI Trend'!R10*(Forecast_Main!V89/SUM(Forecast_Main!T89:W89))+S10*(Forecast_Main!W89/SUM(Forecast_Main!T89:W89))</f>
        <v>39.260000000000005</v>
      </c>
      <c r="H22" s="8">
        <f>T10*(Forecast_Main!X89/SUM(Forecast_Main!X89:AA89))+'CI Trend'!U10*(Forecast_Main!Y89/SUM(Forecast_Main!X89:AA89))+'CI Trend'!V10*(Forecast_Main!Z89/SUM(Forecast_Main!X89:AA89))+W10*(Forecast_Main!AA89/SUM(Forecast_Main!X89:AA89))</f>
        <v>40.523090559453252</v>
      </c>
      <c r="I22" s="8">
        <f>X10*(Forecast_Main!AB89/SUM(Forecast_Main!AB89:AE89))+'CI Trend'!Y10*(Forecast_Main!AC89/SUM(Forecast_Main!AB89:AE89))+'CI Trend'!Z10*(Forecast_Main!AD89/SUM(Forecast_Main!AB89:AE89))+AA10*(Forecast_Main!AE89/SUM(Forecast_Main!AB89:AE89))</f>
        <v>30.953904820581371</v>
      </c>
      <c r="J22" s="8">
        <f>AB10*(Forecast_Main!AF89/SUM(Forecast_Main!AF89:AI89))+'CI Trend'!AC10*(Forecast_Main!AG89/SUM(Forecast_Main!AF89:AI89))+'CI Trend'!AD10*(Forecast_Main!AH89/SUM(Forecast_Main!AF89:AI89))+AE10*(Forecast_Main!AI89/SUM(Forecast_Main!AF89:AI89))</f>
        <v>29.910293397169379</v>
      </c>
      <c r="K22" s="8">
        <f>(AF10*Forecast_Main!AJ89+AG10*Forecast_Main!AK89+AH10*Forecast_Main!AL89+AI10*Forecast_Main!AM89)/SUM(Forecast_Main!AJ89:AM89)</f>
        <v>20.5</v>
      </c>
      <c r="L22" s="8">
        <f>(AJ10*Forecast_Main!AN89+AK10*Forecast_Main!AO89+AL10*Forecast_Main!AP89+AM10*Forecast_Main!AQ89)/SUM(Forecast_Main!AN89:AQ89)</f>
        <v>0</v>
      </c>
      <c r="M22" s="192">
        <f>+CIA_lp_T1</f>
        <v>45</v>
      </c>
      <c r="N22" s="192">
        <f>+CIA_lp_T0</f>
        <v>45</v>
      </c>
      <c r="AO22" s="26"/>
    </row>
    <row r="26" spans="3:41" x14ac:dyDescent="0.3">
      <c r="AO26" s="26"/>
    </row>
    <row r="27" spans="3:41" x14ac:dyDescent="0.3">
      <c r="AO27" s="79"/>
    </row>
    <row r="28" spans="3:41" x14ac:dyDescent="0.3">
      <c r="AO28" s="26"/>
    </row>
    <row r="64" spans="7:13" ht="18" x14ac:dyDescent="0.35">
      <c r="G64" s="220" t="s">
        <v>179</v>
      </c>
      <c r="H64" s="220"/>
      <c r="I64" s="220"/>
      <c r="J64" s="220"/>
      <c r="K64" s="220"/>
      <c r="L64" s="220"/>
      <c r="M64" s="220"/>
    </row>
    <row r="65" spans="7:17" x14ac:dyDescent="0.3">
      <c r="I65" s="16" t="s">
        <v>180</v>
      </c>
      <c r="J65" s="9">
        <f>+Forecast_Main!AN112</f>
        <v>0</v>
      </c>
      <c r="K65" s="9">
        <f>+Forecast_Main!AO112</f>
        <v>0</v>
      </c>
      <c r="L65" s="9">
        <f>+Forecast_Main!AP112</f>
        <v>0</v>
      </c>
      <c r="M65" s="9">
        <f>+Forecast_Main!AQ112</f>
        <v>0</v>
      </c>
    </row>
    <row r="66" spans="7:17" x14ac:dyDescent="0.3">
      <c r="O66" s="219" t="s">
        <v>181</v>
      </c>
      <c r="P66" s="219"/>
      <c r="Q66" s="219"/>
    </row>
    <row r="67" spans="7:17" x14ac:dyDescent="0.3">
      <c r="H67" t="s">
        <v>72</v>
      </c>
      <c r="I67" t="s">
        <v>73</v>
      </c>
      <c r="J67" t="s">
        <v>74</v>
      </c>
      <c r="K67" t="s">
        <v>75</v>
      </c>
      <c r="M67" t="s">
        <v>182</v>
      </c>
      <c r="O67" s="189">
        <v>2024</v>
      </c>
      <c r="P67" s="183">
        <v>2025</v>
      </c>
      <c r="Q67" s="183">
        <v>2026</v>
      </c>
    </row>
    <row r="68" spans="7:17" x14ac:dyDescent="0.3">
      <c r="G68" t="s">
        <v>82</v>
      </c>
      <c r="H68" s="188">
        <f>+AN6</f>
        <v>45.677177999999998</v>
      </c>
      <c r="I68" s="188">
        <f>+$P68</f>
        <v>48</v>
      </c>
      <c r="J68" s="188">
        <f t="shared" ref="J68:K68" si="0">+$P68</f>
        <v>48</v>
      </c>
      <c r="K68" s="188">
        <f t="shared" si="0"/>
        <v>48</v>
      </c>
      <c r="L68" s="8"/>
      <c r="M68" s="188">
        <f>(H68*H69+I68*I69+J68*J69+K68*K69)/SUM(H69:K69)</f>
        <v>47.478895361312198</v>
      </c>
      <c r="N68" s="8"/>
      <c r="O68" s="190">
        <f>+CIA_eth_T2</f>
        <v>50.5</v>
      </c>
      <c r="P68" s="8">
        <f>+CIA_eth_T1</f>
        <v>48</v>
      </c>
      <c r="Q68" s="8">
        <f>+CIA_Eth_T0</f>
        <v>47.5</v>
      </c>
    </row>
    <row r="69" spans="7:17" x14ac:dyDescent="0.3">
      <c r="G69" s="16" t="s">
        <v>180</v>
      </c>
      <c r="H69" s="9">
        <f>+Forecast_Main!AR80</f>
        <v>34128862.200000003</v>
      </c>
      <c r="I69" s="9">
        <f>+Forecast_Main!AS80</f>
        <v>41261738.412719101</v>
      </c>
      <c r="J69" s="9">
        <f>+Forecast_Main!AT80</f>
        <v>38456326.809395567</v>
      </c>
      <c r="K69" s="9">
        <f>+Forecast_Main!AU80</f>
        <v>38282349.632015534</v>
      </c>
      <c r="O69" s="97"/>
    </row>
    <row r="70" spans="7:17" x14ac:dyDescent="0.3">
      <c r="O70" s="97"/>
    </row>
    <row r="71" spans="7:17" x14ac:dyDescent="0.3">
      <c r="H71" t="s">
        <v>68</v>
      </c>
      <c r="I71" t="s">
        <v>69</v>
      </c>
      <c r="J71" t="s">
        <v>70</v>
      </c>
      <c r="K71" t="s">
        <v>71</v>
      </c>
      <c r="M71" t="s">
        <v>182</v>
      </c>
      <c r="O71" s="189">
        <v>2024</v>
      </c>
      <c r="P71" s="183">
        <v>2025</v>
      </c>
      <c r="Q71" s="183">
        <v>2026</v>
      </c>
    </row>
    <row r="72" spans="7:17" x14ac:dyDescent="0.3">
      <c r="G72" t="s">
        <v>18</v>
      </c>
      <c r="H72" s="188">
        <f>+AN7</f>
        <v>46.052311000000003</v>
      </c>
      <c r="I72" s="188">
        <f>+$P72</f>
        <v>43.5</v>
      </c>
      <c r="J72" s="188">
        <f t="shared" ref="J72:K72" si="1">+$P72</f>
        <v>43.5</v>
      </c>
      <c r="K72" s="188">
        <f t="shared" si="1"/>
        <v>43.5</v>
      </c>
      <c r="L72" s="8"/>
      <c r="M72" s="188">
        <f>(H72*H73+I72*I73+J72*J73+K72*K73)/SUM(H73:K73)</f>
        <v>43.929216926684418</v>
      </c>
      <c r="N72" s="8"/>
      <c r="O72" s="190">
        <f>+CIA_bio_T2</f>
        <v>44</v>
      </c>
      <c r="P72" s="8">
        <f>+CIA_Bio_T1</f>
        <v>43.5</v>
      </c>
      <c r="Q72" s="8">
        <f>+CIA_bio_T0</f>
        <v>42.5</v>
      </c>
    </row>
    <row r="73" spans="7:17" x14ac:dyDescent="0.3">
      <c r="G73" s="16" t="s">
        <v>180</v>
      </c>
      <c r="H73" s="9">
        <f>+Forecast_Main!AR86</f>
        <v>13440421.893726299</v>
      </c>
      <c r="I73" s="9">
        <f>+Forecast_Main!AS86</f>
        <v>19681087.612483352</v>
      </c>
      <c r="J73" s="9">
        <f>+Forecast_Main!AT86</f>
        <v>22747229.97589032</v>
      </c>
      <c r="K73" s="9">
        <f>+Forecast_Main!AU86</f>
        <v>24053869.60274763</v>
      </c>
      <c r="O73" s="97"/>
    </row>
    <row r="74" spans="7:17" x14ac:dyDescent="0.3">
      <c r="O74" s="97"/>
    </row>
    <row r="75" spans="7:17" x14ac:dyDescent="0.3">
      <c r="H75" t="s">
        <v>68</v>
      </c>
      <c r="I75" t="s">
        <v>69</v>
      </c>
      <c r="J75" t="s">
        <v>70</v>
      </c>
      <c r="K75" t="s">
        <v>71</v>
      </c>
      <c r="M75" t="s">
        <v>182</v>
      </c>
      <c r="O75" s="189">
        <v>2024</v>
      </c>
      <c r="P75" s="183">
        <v>2025</v>
      </c>
      <c r="Q75" s="183">
        <v>2026</v>
      </c>
    </row>
    <row r="76" spans="7:17" x14ac:dyDescent="0.3">
      <c r="G76" t="s">
        <v>87</v>
      </c>
      <c r="H76" s="188">
        <f>+AN8</f>
        <v>18.651433999999998</v>
      </c>
      <c r="I76" s="188">
        <f>+$P76</f>
        <v>36</v>
      </c>
      <c r="J76" s="188">
        <f t="shared" ref="J76:K76" si="2">+$P76</f>
        <v>36</v>
      </c>
      <c r="K76" s="188">
        <f t="shared" si="2"/>
        <v>36</v>
      </c>
      <c r="L76" s="8"/>
      <c r="M76" s="188">
        <f>(H76*H77+I76*I77+J76*J77+K76*K77)/SUM(H77:K77)</f>
        <v>34.42604224436112</v>
      </c>
      <c r="N76" s="8"/>
      <c r="O76" s="190">
        <f>+CIA_ren_T2</f>
        <v>39</v>
      </c>
      <c r="P76" s="8">
        <f>+CIA_ren_T1</f>
        <v>36</v>
      </c>
      <c r="Q76" s="8">
        <f>+CIA_ren_T0</f>
        <v>37</v>
      </c>
    </row>
    <row r="77" spans="7:17" x14ac:dyDescent="0.3">
      <c r="G77" s="16" t="s">
        <v>180</v>
      </c>
      <c r="H77" s="9">
        <f>+Forecast_Main!AR88</f>
        <v>12635152.4062737</v>
      </c>
      <c r="I77" s="9">
        <f>+Forecast_Main!AS88</f>
        <v>37487785.928539716</v>
      </c>
      <c r="J77" s="9">
        <f>+Forecast_Main!AT88</f>
        <v>43328057.096933946</v>
      </c>
      <c r="K77" s="9">
        <f>+Forecast_Main!AU88</f>
        <v>45816894.481424063</v>
      </c>
      <c r="O77" s="97"/>
    </row>
    <row r="78" spans="7:17" x14ac:dyDescent="0.3">
      <c r="O78" s="97"/>
    </row>
    <row r="79" spans="7:17" x14ac:dyDescent="0.3">
      <c r="H79" t="s">
        <v>68</v>
      </c>
      <c r="I79" t="s">
        <v>69</v>
      </c>
      <c r="J79" t="s">
        <v>70</v>
      </c>
      <c r="K79" t="s">
        <v>71</v>
      </c>
      <c r="M79" t="s">
        <v>182</v>
      </c>
      <c r="O79" s="189">
        <v>2024</v>
      </c>
      <c r="P79" s="183">
        <v>2025</v>
      </c>
      <c r="Q79" s="183">
        <v>2026</v>
      </c>
    </row>
    <row r="80" spans="7:17" x14ac:dyDescent="0.3">
      <c r="G80" t="s">
        <v>176</v>
      </c>
      <c r="H80" s="188">
        <f>+AN9</f>
        <v>-20.419492000000002</v>
      </c>
      <c r="I80" s="188">
        <f>+$P80</f>
        <v>0</v>
      </c>
      <c r="J80" s="188">
        <f t="shared" ref="J80:K80" si="3">+$P80</f>
        <v>0</v>
      </c>
      <c r="K80" s="188">
        <f t="shared" si="3"/>
        <v>0</v>
      </c>
      <c r="M80" s="188">
        <f>(H80*H81+I80*I81+J80*J81+K80*K81)/SUM(H81:K81)</f>
        <v>-4.5998015566991706</v>
      </c>
      <c r="O80" s="190">
        <f>+CIA_eon_T2</f>
        <v>0</v>
      </c>
      <c r="P80" s="8">
        <f>+CIA_eon_T1</f>
        <v>0</v>
      </c>
      <c r="Q80" s="8">
        <f>+CIA_eon_T0</f>
        <v>0</v>
      </c>
    </row>
    <row r="81" spans="7:17" x14ac:dyDescent="0.3">
      <c r="G81" s="16" t="s">
        <v>180</v>
      </c>
      <c r="H81" s="9">
        <f>+Forecast_Main!AR96</f>
        <v>3181913.6587197911</v>
      </c>
      <c r="I81" s="9">
        <f>+Forecast_Main!AS96</f>
        <v>3448801.3415017747</v>
      </c>
      <c r="J81" s="9">
        <f>+Forecast_Main!AT96</f>
        <v>3648750.6580713876</v>
      </c>
      <c r="K81" s="9">
        <f>+Forecast_Main!AU96</f>
        <v>3845722.0694890139</v>
      </c>
      <c r="O81" s="97"/>
    </row>
    <row r="82" spans="7:17" x14ac:dyDescent="0.3">
      <c r="O82" s="97"/>
    </row>
    <row r="83" spans="7:17" x14ac:dyDescent="0.3">
      <c r="H83" t="s">
        <v>68</v>
      </c>
      <c r="I83" t="s">
        <v>69</v>
      </c>
      <c r="J83" t="s">
        <v>70</v>
      </c>
      <c r="K83" t="s">
        <v>71</v>
      </c>
      <c r="M83" t="s">
        <v>182</v>
      </c>
      <c r="O83" s="189">
        <v>2024</v>
      </c>
      <c r="P83" s="183">
        <v>2025</v>
      </c>
      <c r="Q83" s="183">
        <v>2026</v>
      </c>
    </row>
    <row r="84" spans="7:17" x14ac:dyDescent="0.3">
      <c r="G84" t="s">
        <v>183</v>
      </c>
      <c r="H84" s="188">
        <f>+AN10</f>
        <v>0</v>
      </c>
      <c r="I84" s="188">
        <f>+$P84</f>
        <v>45</v>
      </c>
      <c r="J84" s="188">
        <f t="shared" ref="J84:K84" si="4">+$P84</f>
        <v>45</v>
      </c>
      <c r="K84" s="188">
        <f t="shared" si="4"/>
        <v>45</v>
      </c>
      <c r="M84" s="188">
        <f>(H84*H85+I84*I85+J84*J85+K84*K85)/SUM(H85:K85)</f>
        <v>45</v>
      </c>
      <c r="O84" s="190">
        <f>+CIA_lp_T2</f>
        <v>48</v>
      </c>
      <c r="P84" s="8">
        <f>+CIA_lp_T1</f>
        <v>45</v>
      </c>
      <c r="Q84" s="8">
        <f>+CIA_lp_T0</f>
        <v>45</v>
      </c>
    </row>
    <row r="85" spans="7:17" x14ac:dyDescent="0.3">
      <c r="H85" s="9">
        <f>+Forecast_Main!AR112</f>
        <v>0</v>
      </c>
      <c r="I85" s="9">
        <f>+Forecast_Main!AS112</f>
        <v>153422.47899999999</v>
      </c>
      <c r="J85" s="9">
        <f>+Forecast_Main!AT112</f>
        <v>166889.31130499998</v>
      </c>
      <c r="K85" s="9">
        <f>+Forecast_Main!AU112</f>
        <v>194496.801139975</v>
      </c>
    </row>
  </sheetData>
  <mergeCells count="4">
    <mergeCell ref="A2:G2"/>
    <mergeCell ref="D15:L15"/>
    <mergeCell ref="O66:Q66"/>
    <mergeCell ref="G64:M64"/>
  </mergeCells>
  <phoneticPr fontId="32" type="noConversion"/>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84"/>
  <sheetViews>
    <sheetView topLeftCell="A63" zoomScale="75" zoomScaleNormal="75" workbookViewId="0">
      <selection activeCell="A87" sqref="A87:A88"/>
    </sheetView>
  </sheetViews>
  <sheetFormatPr defaultRowHeight="14.4" x14ac:dyDescent="0.3"/>
  <cols>
    <col min="1" max="1" width="19.33203125" customWidth="1"/>
    <col min="2" max="2" width="14.88671875" customWidth="1"/>
    <col min="3" max="3" width="9.6640625" bestFit="1" customWidth="1"/>
    <col min="4" max="4" width="18.88671875" customWidth="1"/>
    <col min="5" max="5" width="22.44140625" customWidth="1"/>
    <col min="6" max="6" width="22.109375" customWidth="1"/>
    <col min="8" max="8" width="24.109375" bestFit="1" customWidth="1"/>
    <col min="9" max="9" width="18.109375" customWidth="1"/>
    <col min="10" max="10" width="21.33203125" customWidth="1"/>
    <col min="12" max="16" width="16.44140625" customWidth="1"/>
    <col min="18" max="18" width="18.6640625" customWidth="1"/>
  </cols>
  <sheetData>
    <row r="1" spans="1:20" s="87" customFormat="1" ht="15.75" customHeight="1" x14ac:dyDescent="0.3">
      <c r="A1" s="14" t="s">
        <v>184</v>
      </c>
      <c r="B1" t="s">
        <v>82</v>
      </c>
      <c r="C1"/>
      <c r="D1"/>
      <c r="E1"/>
      <c r="L1" s="221" t="s">
        <v>185</v>
      </c>
      <c r="M1" s="221"/>
      <c r="N1" s="221"/>
      <c r="O1" s="221"/>
      <c r="P1" s="221"/>
      <c r="S1"/>
      <c r="T1"/>
    </row>
    <row r="2" spans="1:20" s="87" customFormat="1" ht="18" x14ac:dyDescent="0.35">
      <c r="A2" s="14" t="s">
        <v>3</v>
      </c>
      <c r="B2" s="63">
        <v>45292</v>
      </c>
      <c r="C2"/>
      <c r="D2"/>
      <c r="E2"/>
      <c r="H2" s="220" t="s">
        <v>82</v>
      </c>
      <c r="I2" s="220"/>
      <c r="J2" s="220"/>
      <c r="L2" s="221"/>
      <c r="M2" s="221"/>
      <c r="N2" s="221"/>
      <c r="O2" s="221"/>
      <c r="P2" s="221"/>
      <c r="S2"/>
      <c r="T2"/>
    </row>
    <row r="3" spans="1:20" x14ac:dyDescent="0.3">
      <c r="L3" s="221"/>
      <c r="M3" s="221"/>
      <c r="N3" s="221"/>
      <c r="O3" s="221"/>
      <c r="P3" s="221"/>
    </row>
    <row r="4" spans="1:20" x14ac:dyDescent="0.3">
      <c r="A4" s="14" t="s">
        <v>186</v>
      </c>
      <c r="H4" s="50" t="s">
        <v>187</v>
      </c>
      <c r="J4" s="42" t="s">
        <v>188</v>
      </c>
    </row>
    <row r="5" spans="1:20" x14ac:dyDescent="0.3">
      <c r="A5" s="14" t="s">
        <v>123</v>
      </c>
      <c r="B5" s="14" t="s">
        <v>189</v>
      </c>
      <c r="C5" s="14" t="s">
        <v>190</v>
      </c>
      <c r="D5" s="14" t="s">
        <v>191</v>
      </c>
      <c r="E5" t="s">
        <v>169</v>
      </c>
    </row>
    <row r="6" spans="1:20" x14ac:dyDescent="0.3">
      <c r="A6">
        <v>0</v>
      </c>
      <c r="B6" t="s">
        <v>192</v>
      </c>
      <c r="C6" t="s">
        <v>193</v>
      </c>
      <c r="D6" t="s">
        <v>194</v>
      </c>
      <c r="E6" s="9">
        <v>145000000</v>
      </c>
      <c r="H6" s="57">
        <f>IF(SUM(E6:E$6)&lt;E$68,E6,E$68-SUM(E5:E$5))</f>
        <v>145000000</v>
      </c>
      <c r="I6" s="57">
        <f>H6*A6</f>
        <v>0</v>
      </c>
    </row>
    <row r="7" spans="1:20" x14ac:dyDescent="0.3">
      <c r="A7">
        <v>15</v>
      </c>
      <c r="B7" t="s">
        <v>195</v>
      </c>
      <c r="C7" t="s">
        <v>196</v>
      </c>
      <c r="D7" t="s">
        <v>197</v>
      </c>
      <c r="E7" s="9">
        <v>1000000</v>
      </c>
      <c r="H7" s="57">
        <f>IF(SUM(E$6:E7)&lt;E$68,E7,E$68-SUM(E$5:E6))</f>
        <v>1000000</v>
      </c>
      <c r="I7" s="57">
        <f>H7*A7</f>
        <v>15000000</v>
      </c>
    </row>
    <row r="8" spans="1:20" x14ac:dyDescent="0.3">
      <c r="A8">
        <v>23.333333333333332</v>
      </c>
      <c r="B8" t="s">
        <v>195</v>
      </c>
      <c r="C8" t="s">
        <v>193</v>
      </c>
      <c r="D8" t="s">
        <v>197</v>
      </c>
      <c r="E8" s="9">
        <v>1000000</v>
      </c>
      <c r="H8" s="57">
        <f>IF(SUM(E$6:E8)&lt;E$68,E8,E$68-SUM(E$5:E7))</f>
        <v>1000000</v>
      </c>
      <c r="I8" s="57">
        <f t="shared" ref="I8:I9" si="0">H8*A8</f>
        <v>23333333.333333332</v>
      </c>
    </row>
    <row r="9" spans="1:20" x14ac:dyDescent="0.3">
      <c r="A9">
        <v>24.06</v>
      </c>
      <c r="B9" t="s">
        <v>198</v>
      </c>
      <c r="C9" t="s">
        <v>196</v>
      </c>
      <c r="D9" t="s">
        <v>199</v>
      </c>
      <c r="E9" s="9">
        <v>60000000</v>
      </c>
      <c r="H9" s="57">
        <f>IF(SUM(E$6:E9)&lt;E$68,E9,E$68-SUM(E$5:E8))</f>
        <v>5129277.0541301966</v>
      </c>
      <c r="I9" s="57">
        <f t="shared" si="0"/>
        <v>123410405.92237252</v>
      </c>
    </row>
    <row r="10" spans="1:20" x14ac:dyDescent="0.3">
      <c r="A10">
        <v>26.49</v>
      </c>
      <c r="B10" t="s">
        <v>200</v>
      </c>
      <c r="C10" t="s">
        <v>201</v>
      </c>
      <c r="D10" t="s">
        <v>202</v>
      </c>
      <c r="E10" s="9">
        <v>80000000</v>
      </c>
      <c r="H10" s="57"/>
      <c r="I10" s="57"/>
    </row>
    <row r="11" spans="1:20" x14ac:dyDescent="0.3">
      <c r="A11">
        <v>26.73</v>
      </c>
      <c r="B11" t="s">
        <v>198</v>
      </c>
      <c r="C11" t="s">
        <v>203</v>
      </c>
      <c r="D11" t="s">
        <v>204</v>
      </c>
      <c r="E11" s="9">
        <v>70000000</v>
      </c>
      <c r="H11" s="57"/>
      <c r="I11" s="57"/>
    </row>
    <row r="12" spans="1:20" x14ac:dyDescent="0.3">
      <c r="A12">
        <v>27.37</v>
      </c>
      <c r="B12" t="s">
        <v>200</v>
      </c>
      <c r="C12" t="s">
        <v>205</v>
      </c>
      <c r="D12" t="s">
        <v>206</v>
      </c>
      <c r="E12" s="9">
        <v>70000000</v>
      </c>
      <c r="H12" s="57"/>
      <c r="I12" s="57"/>
    </row>
    <row r="13" spans="1:20" x14ac:dyDescent="0.3">
      <c r="A13">
        <v>28.46</v>
      </c>
      <c r="B13" t="s">
        <v>200</v>
      </c>
      <c r="C13" t="s">
        <v>207</v>
      </c>
      <c r="D13" t="s">
        <v>208</v>
      </c>
      <c r="E13" s="9">
        <v>60000000</v>
      </c>
      <c r="H13" s="57"/>
      <c r="I13" s="57"/>
    </row>
    <row r="14" spans="1:20" x14ac:dyDescent="0.3">
      <c r="A14">
        <v>28.59</v>
      </c>
      <c r="B14" t="s">
        <v>198</v>
      </c>
      <c r="C14" t="s">
        <v>209</v>
      </c>
      <c r="D14" t="s">
        <v>210</v>
      </c>
      <c r="E14" s="9">
        <v>65000000</v>
      </c>
    </row>
    <row r="15" spans="1:20" x14ac:dyDescent="0.3">
      <c r="A15">
        <v>31.18</v>
      </c>
      <c r="B15" t="s">
        <v>198</v>
      </c>
      <c r="C15" t="s">
        <v>211</v>
      </c>
      <c r="D15" t="s">
        <v>212</v>
      </c>
      <c r="E15" s="9">
        <v>90000000</v>
      </c>
    </row>
    <row r="16" spans="1:20" x14ac:dyDescent="0.3">
      <c r="A16">
        <v>31.813333333333333</v>
      </c>
      <c r="B16" t="s">
        <v>192</v>
      </c>
      <c r="C16" t="s">
        <v>213</v>
      </c>
      <c r="D16" t="s">
        <v>214</v>
      </c>
      <c r="E16" s="9">
        <v>69949425</v>
      </c>
    </row>
    <row r="17" spans="1:5" x14ac:dyDescent="0.3">
      <c r="A17">
        <v>32.799999999999997</v>
      </c>
      <c r="B17" t="s">
        <v>192</v>
      </c>
      <c r="C17" t="s">
        <v>215</v>
      </c>
      <c r="D17" t="s">
        <v>194</v>
      </c>
      <c r="E17" s="9">
        <v>145000000</v>
      </c>
    </row>
    <row r="18" spans="1:5" x14ac:dyDescent="0.3">
      <c r="A18">
        <v>33.28</v>
      </c>
      <c r="B18" t="s">
        <v>192</v>
      </c>
      <c r="C18" t="s">
        <v>216</v>
      </c>
      <c r="D18" t="s">
        <v>194</v>
      </c>
      <c r="E18" s="9">
        <v>145000000</v>
      </c>
    </row>
    <row r="19" spans="1:5" x14ac:dyDescent="0.3">
      <c r="A19">
        <v>37.160000000000004</v>
      </c>
      <c r="B19" t="s">
        <v>198</v>
      </c>
      <c r="C19" t="s">
        <v>209</v>
      </c>
      <c r="D19" t="s">
        <v>217</v>
      </c>
      <c r="E19" s="9">
        <v>128722000</v>
      </c>
    </row>
    <row r="20" spans="1:5" x14ac:dyDescent="0.3">
      <c r="A20">
        <v>37.65</v>
      </c>
      <c r="B20" t="s">
        <v>218</v>
      </c>
      <c r="C20" t="s">
        <v>205</v>
      </c>
      <c r="D20" t="s">
        <v>219</v>
      </c>
      <c r="E20" s="9">
        <v>82125000</v>
      </c>
    </row>
    <row r="21" spans="1:5" x14ac:dyDescent="0.3">
      <c r="A21">
        <v>39.03</v>
      </c>
      <c r="B21" t="s">
        <v>218</v>
      </c>
      <c r="C21" t="s">
        <v>216</v>
      </c>
      <c r="D21" t="s">
        <v>220</v>
      </c>
      <c r="E21" s="9">
        <v>109000000</v>
      </c>
    </row>
    <row r="22" spans="1:5" x14ac:dyDescent="0.3">
      <c r="A22">
        <v>42.446666666666665</v>
      </c>
      <c r="B22" t="s">
        <v>198</v>
      </c>
      <c r="C22" t="s">
        <v>221</v>
      </c>
      <c r="D22" t="s">
        <v>222</v>
      </c>
      <c r="E22" s="9">
        <v>105000000</v>
      </c>
    </row>
    <row r="23" spans="1:5" x14ac:dyDescent="0.3">
      <c r="A23">
        <v>42.5</v>
      </c>
      <c r="B23" t="s">
        <v>198</v>
      </c>
      <c r="C23" t="s">
        <v>223</v>
      </c>
      <c r="D23" t="s">
        <v>224</v>
      </c>
      <c r="E23" s="9">
        <v>70000000</v>
      </c>
    </row>
    <row r="24" spans="1:5" x14ac:dyDescent="0.3">
      <c r="A24">
        <v>43.93</v>
      </c>
      <c r="B24" t="s">
        <v>218</v>
      </c>
      <c r="C24" t="s">
        <v>225</v>
      </c>
      <c r="D24" t="s">
        <v>226</v>
      </c>
      <c r="E24" s="9">
        <v>46000000</v>
      </c>
    </row>
    <row r="25" spans="1:5" x14ac:dyDescent="0.3">
      <c r="A25">
        <v>45.433333333333337</v>
      </c>
      <c r="B25" t="s">
        <v>218</v>
      </c>
      <c r="C25" t="s">
        <v>216</v>
      </c>
      <c r="D25" t="s">
        <v>227</v>
      </c>
      <c r="E25" s="9">
        <v>130000000</v>
      </c>
    </row>
    <row r="26" spans="1:5" x14ac:dyDescent="0.3">
      <c r="A26">
        <v>46.640000000000008</v>
      </c>
      <c r="B26" t="s">
        <v>218</v>
      </c>
      <c r="C26" t="s">
        <v>205</v>
      </c>
      <c r="D26" t="s">
        <v>228</v>
      </c>
      <c r="E26" s="9">
        <v>55000000</v>
      </c>
    </row>
    <row r="27" spans="1:5" x14ac:dyDescent="0.3">
      <c r="A27">
        <v>48.386666666666663</v>
      </c>
      <c r="B27" t="s">
        <v>198</v>
      </c>
      <c r="C27" t="s">
        <v>229</v>
      </c>
      <c r="D27" t="s">
        <v>230</v>
      </c>
      <c r="E27" s="9">
        <v>81555600</v>
      </c>
    </row>
    <row r="28" spans="1:5" x14ac:dyDescent="0.3">
      <c r="A28">
        <v>50.62</v>
      </c>
      <c r="B28" t="s">
        <v>218</v>
      </c>
      <c r="C28" t="s">
        <v>231</v>
      </c>
      <c r="D28" t="s">
        <v>232</v>
      </c>
      <c r="E28" s="9">
        <v>49000000</v>
      </c>
    </row>
    <row r="29" spans="1:5" x14ac:dyDescent="0.3">
      <c r="A29">
        <v>51.83</v>
      </c>
      <c r="B29" t="s">
        <v>198</v>
      </c>
      <c r="C29" t="s">
        <v>233</v>
      </c>
      <c r="D29" t="s">
        <v>199</v>
      </c>
      <c r="E29" s="9">
        <v>60000000</v>
      </c>
    </row>
    <row r="30" spans="1:5" x14ac:dyDescent="0.3">
      <c r="A30">
        <v>52.16</v>
      </c>
      <c r="B30" t="s">
        <v>200</v>
      </c>
      <c r="C30" t="s">
        <v>221</v>
      </c>
      <c r="D30" t="s">
        <v>206</v>
      </c>
      <c r="E30" s="9">
        <v>70000000</v>
      </c>
    </row>
    <row r="31" spans="1:5" x14ac:dyDescent="0.3">
      <c r="A31">
        <v>52.5</v>
      </c>
      <c r="B31" t="s">
        <v>234</v>
      </c>
      <c r="C31" t="s">
        <v>235</v>
      </c>
      <c r="D31" t="s">
        <v>236</v>
      </c>
      <c r="E31" s="9">
        <v>60000000</v>
      </c>
    </row>
    <row r="32" spans="1:5" x14ac:dyDescent="0.3">
      <c r="A32">
        <v>53.6</v>
      </c>
      <c r="B32" t="s">
        <v>234</v>
      </c>
      <c r="C32" t="s">
        <v>205</v>
      </c>
      <c r="D32" t="s">
        <v>237</v>
      </c>
      <c r="E32" s="9">
        <v>60000000</v>
      </c>
    </row>
    <row r="33" spans="1:11" ht="15" thickBot="1" x14ac:dyDescent="0.35">
      <c r="A33">
        <v>53.91</v>
      </c>
      <c r="B33" t="s">
        <v>195</v>
      </c>
      <c r="C33" t="s">
        <v>225</v>
      </c>
      <c r="D33" t="s">
        <v>238</v>
      </c>
      <c r="E33" s="9">
        <v>43045800</v>
      </c>
    </row>
    <row r="34" spans="1:11" x14ac:dyDescent="0.3">
      <c r="A34">
        <v>54.2</v>
      </c>
      <c r="B34" t="s">
        <v>239</v>
      </c>
      <c r="C34" t="s">
        <v>231</v>
      </c>
      <c r="D34" t="s">
        <v>240</v>
      </c>
      <c r="E34" s="9">
        <v>65000000</v>
      </c>
      <c r="G34" s="112"/>
      <c r="H34" s="113"/>
      <c r="I34" s="113"/>
      <c r="J34" s="113"/>
      <c r="K34" s="114"/>
    </row>
    <row r="35" spans="1:11" ht="18" x14ac:dyDescent="0.35">
      <c r="A35">
        <v>54.6</v>
      </c>
      <c r="B35" t="s">
        <v>200</v>
      </c>
      <c r="C35" t="s">
        <v>241</v>
      </c>
      <c r="D35" t="s">
        <v>202</v>
      </c>
      <c r="E35" s="9">
        <v>80000000</v>
      </c>
      <c r="G35" s="115"/>
      <c r="H35" s="220" t="s">
        <v>82</v>
      </c>
      <c r="I35" s="220"/>
      <c r="J35" s="220"/>
      <c r="K35" s="116"/>
    </row>
    <row r="36" spans="1:11" x14ac:dyDescent="0.3">
      <c r="A36">
        <v>54.61</v>
      </c>
      <c r="B36" t="s">
        <v>198</v>
      </c>
      <c r="C36" t="s">
        <v>242</v>
      </c>
      <c r="D36" t="s">
        <v>199</v>
      </c>
      <c r="E36" s="9">
        <v>60000000</v>
      </c>
      <c r="G36" s="115"/>
      <c r="K36" s="116"/>
    </row>
    <row r="37" spans="1:11" x14ac:dyDescent="0.3">
      <c r="A37">
        <v>54.655000000000001</v>
      </c>
      <c r="B37" t="s">
        <v>192</v>
      </c>
      <c r="C37" t="s">
        <v>225</v>
      </c>
      <c r="D37" t="s">
        <v>194</v>
      </c>
      <c r="E37" s="9">
        <v>145000000</v>
      </c>
      <c r="G37" s="115"/>
      <c r="H37" s="50" t="s">
        <v>187</v>
      </c>
      <c r="J37" s="42" t="s">
        <v>188</v>
      </c>
      <c r="K37" s="116"/>
    </row>
    <row r="38" spans="1:11" ht="15" thickBot="1" x14ac:dyDescent="0.35">
      <c r="A38">
        <v>55.08</v>
      </c>
      <c r="B38" t="s">
        <v>218</v>
      </c>
      <c r="C38" t="s">
        <v>193</v>
      </c>
      <c r="D38" t="s">
        <v>243</v>
      </c>
      <c r="E38" s="9">
        <v>84000000</v>
      </c>
      <c r="G38" s="115"/>
      <c r="K38" s="116"/>
    </row>
    <row r="39" spans="1:11" ht="15" thickBot="1" x14ac:dyDescent="0.35">
      <c r="A39">
        <v>55.51</v>
      </c>
      <c r="B39" t="s">
        <v>192</v>
      </c>
      <c r="C39" t="s">
        <v>244</v>
      </c>
      <c r="D39" t="s">
        <v>214</v>
      </c>
      <c r="E39" s="9">
        <v>69949425</v>
      </c>
      <c r="G39" s="115"/>
      <c r="H39" s="64">
        <f>SUM(I6:I7)/SUM(H6:H7)</f>
        <v>0.10273972602739725</v>
      </c>
      <c r="J39" s="73">
        <f>CIA_Eth_T0</f>
        <v>47.5</v>
      </c>
      <c r="K39" s="116"/>
    </row>
    <row r="40" spans="1:11" x14ac:dyDescent="0.3">
      <c r="A40">
        <v>55.726666666666667</v>
      </c>
      <c r="B40" t="s">
        <v>198</v>
      </c>
      <c r="C40" t="s">
        <v>245</v>
      </c>
      <c r="D40" t="s">
        <v>199</v>
      </c>
      <c r="E40" s="9">
        <v>60000000</v>
      </c>
      <c r="G40" s="115"/>
      <c r="H40" s="79"/>
      <c r="J40" s="79"/>
      <c r="K40" s="116"/>
    </row>
    <row r="41" spans="1:11" ht="15" thickBot="1" x14ac:dyDescent="0.35">
      <c r="A41">
        <v>55.8</v>
      </c>
      <c r="B41" t="s">
        <v>192</v>
      </c>
      <c r="C41" t="s">
        <v>246</v>
      </c>
      <c r="D41" t="s">
        <v>194</v>
      </c>
      <c r="E41" s="9">
        <v>145000000</v>
      </c>
      <c r="G41" s="117"/>
      <c r="H41" s="18"/>
      <c r="I41" s="18"/>
      <c r="J41" s="18"/>
      <c r="K41" s="118"/>
    </row>
    <row r="42" spans="1:11" x14ac:dyDescent="0.3">
      <c r="A42">
        <v>55.954999999999998</v>
      </c>
      <c r="B42" t="s">
        <v>198</v>
      </c>
      <c r="C42" t="s">
        <v>244</v>
      </c>
      <c r="D42" t="s">
        <v>224</v>
      </c>
      <c r="E42" s="9">
        <v>70000000</v>
      </c>
    </row>
    <row r="43" spans="1:11" x14ac:dyDescent="0.3">
      <c r="A43">
        <v>56.49</v>
      </c>
      <c r="B43" t="s">
        <v>239</v>
      </c>
      <c r="C43" t="s">
        <v>247</v>
      </c>
      <c r="D43" t="s">
        <v>248</v>
      </c>
      <c r="E43" s="9">
        <v>53269178</v>
      </c>
    </row>
    <row r="44" spans="1:11" x14ac:dyDescent="0.3">
      <c r="A44">
        <v>57.54</v>
      </c>
      <c r="B44" t="s">
        <v>192</v>
      </c>
      <c r="C44" t="s">
        <v>249</v>
      </c>
      <c r="D44" t="s">
        <v>214</v>
      </c>
      <c r="E44" s="9">
        <v>69949425</v>
      </c>
    </row>
    <row r="45" spans="1:11" x14ac:dyDescent="0.3">
      <c r="A45">
        <v>57.922499999999999</v>
      </c>
      <c r="B45" t="s">
        <v>198</v>
      </c>
      <c r="C45" t="s">
        <v>223</v>
      </c>
      <c r="D45" t="s">
        <v>222</v>
      </c>
      <c r="E45" s="9">
        <v>105000000</v>
      </c>
    </row>
    <row r="46" spans="1:11" x14ac:dyDescent="0.3">
      <c r="A46">
        <v>58.67</v>
      </c>
      <c r="B46" t="s">
        <v>198</v>
      </c>
      <c r="C46" t="s">
        <v>216</v>
      </c>
      <c r="D46" t="s">
        <v>250</v>
      </c>
      <c r="E46" s="9">
        <v>61000000</v>
      </c>
    </row>
    <row r="47" spans="1:11" x14ac:dyDescent="0.3">
      <c r="A47">
        <v>58.765000000000001</v>
      </c>
      <c r="B47" t="s">
        <v>251</v>
      </c>
      <c r="C47" t="s">
        <v>252</v>
      </c>
      <c r="D47" t="s">
        <v>253</v>
      </c>
      <c r="E47" s="9">
        <v>54600000</v>
      </c>
    </row>
    <row r="48" spans="1:11" x14ac:dyDescent="0.3">
      <c r="A48">
        <v>58.9</v>
      </c>
      <c r="B48" t="s">
        <v>198</v>
      </c>
      <c r="C48" t="s">
        <v>193</v>
      </c>
      <c r="D48" t="s">
        <v>254</v>
      </c>
      <c r="E48" s="9">
        <v>162000000</v>
      </c>
    </row>
    <row r="49" spans="1:5" x14ac:dyDescent="0.3">
      <c r="A49">
        <v>59.15</v>
      </c>
      <c r="B49" t="s">
        <v>198</v>
      </c>
      <c r="C49" t="s">
        <v>255</v>
      </c>
      <c r="D49" t="s">
        <v>199</v>
      </c>
      <c r="E49" s="9">
        <v>60000000</v>
      </c>
    </row>
    <row r="50" spans="1:5" x14ac:dyDescent="0.3">
      <c r="A50">
        <v>59.305</v>
      </c>
      <c r="B50" t="s">
        <v>200</v>
      </c>
      <c r="C50" t="s">
        <v>211</v>
      </c>
      <c r="D50" t="s">
        <v>208</v>
      </c>
      <c r="E50" s="9">
        <v>60000000</v>
      </c>
    </row>
    <row r="51" spans="1:5" x14ac:dyDescent="0.3">
      <c r="A51">
        <v>59.474999999999994</v>
      </c>
      <c r="B51" t="s">
        <v>198</v>
      </c>
      <c r="C51" t="s">
        <v>201</v>
      </c>
      <c r="D51" t="s">
        <v>204</v>
      </c>
      <c r="E51" s="9">
        <v>70000000</v>
      </c>
    </row>
    <row r="52" spans="1:5" x14ac:dyDescent="0.3">
      <c r="A52">
        <v>60.134999999999998</v>
      </c>
      <c r="B52" t="s">
        <v>198</v>
      </c>
      <c r="C52" t="s">
        <v>216</v>
      </c>
      <c r="D52" t="s">
        <v>256</v>
      </c>
      <c r="E52" s="9">
        <v>40000000</v>
      </c>
    </row>
    <row r="53" spans="1:5" x14ac:dyDescent="0.3">
      <c r="A53">
        <v>60.3</v>
      </c>
      <c r="B53" t="s">
        <v>198</v>
      </c>
      <c r="C53" t="s">
        <v>203</v>
      </c>
      <c r="D53" t="s">
        <v>210</v>
      </c>
      <c r="E53" s="9">
        <v>65000000</v>
      </c>
    </row>
    <row r="54" spans="1:5" x14ac:dyDescent="0.3">
      <c r="A54">
        <v>60.68</v>
      </c>
      <c r="B54" t="s">
        <v>198</v>
      </c>
      <c r="C54" t="s">
        <v>193</v>
      </c>
      <c r="D54" t="s">
        <v>257</v>
      </c>
      <c r="E54" s="9">
        <v>148000000</v>
      </c>
    </row>
    <row r="55" spans="1:5" x14ac:dyDescent="0.3">
      <c r="A55">
        <v>61.56</v>
      </c>
      <c r="B55" t="s">
        <v>200</v>
      </c>
      <c r="C55" t="s">
        <v>207</v>
      </c>
      <c r="D55" t="s">
        <v>202</v>
      </c>
      <c r="E55" s="9">
        <v>80000000</v>
      </c>
    </row>
    <row r="56" spans="1:5" x14ac:dyDescent="0.3">
      <c r="A56">
        <v>62.734999999999999</v>
      </c>
      <c r="B56" t="s">
        <v>198</v>
      </c>
      <c r="C56" t="s">
        <v>258</v>
      </c>
      <c r="D56" t="s">
        <v>212</v>
      </c>
      <c r="E56" s="9">
        <v>90000000</v>
      </c>
    </row>
    <row r="57" spans="1:5" x14ac:dyDescent="0.3">
      <c r="A57">
        <v>64.290000000000006</v>
      </c>
      <c r="B57" t="s">
        <v>239</v>
      </c>
      <c r="C57" t="s">
        <v>231</v>
      </c>
      <c r="D57" t="s">
        <v>248</v>
      </c>
      <c r="E57" s="9">
        <v>53269178</v>
      </c>
    </row>
    <row r="58" spans="1:5" x14ac:dyDescent="0.3">
      <c r="A58" t="s">
        <v>259</v>
      </c>
      <c r="E58" s="9">
        <v>4102435031</v>
      </c>
    </row>
    <row r="68" spans="1:10" x14ac:dyDescent="0.3">
      <c r="D68" s="22" t="s">
        <v>260</v>
      </c>
      <c r="E68" s="57">
        <f>'Table 1 - Volumes'!K6*1000000</f>
        <v>152129277.0541302</v>
      </c>
    </row>
    <row r="69" spans="1:10" x14ac:dyDescent="0.3">
      <c r="D69" s="22"/>
      <c r="E69" s="57"/>
    </row>
    <row r="71" spans="1:10" x14ac:dyDescent="0.3">
      <c r="A71" s="14" t="s">
        <v>184</v>
      </c>
      <c r="B71" t="s">
        <v>18</v>
      </c>
      <c r="F71" s="9"/>
    </row>
    <row r="72" spans="1:10" ht="18" x14ac:dyDescent="0.35">
      <c r="A72" s="14" t="s">
        <v>3</v>
      </c>
      <c r="B72" s="63">
        <v>45292</v>
      </c>
      <c r="H72" s="220" t="s">
        <v>18</v>
      </c>
      <c r="I72" s="220"/>
      <c r="J72" s="220"/>
    </row>
    <row r="74" spans="1:10" x14ac:dyDescent="0.3">
      <c r="A74" s="14" t="s">
        <v>186</v>
      </c>
      <c r="H74" s="50" t="s">
        <v>187</v>
      </c>
      <c r="J74" s="42" t="s">
        <v>188</v>
      </c>
    </row>
    <row r="75" spans="1:10" x14ac:dyDescent="0.3">
      <c r="A75" s="14" t="s">
        <v>123</v>
      </c>
      <c r="B75" s="14" t="s">
        <v>189</v>
      </c>
      <c r="C75" s="14" t="s">
        <v>190</v>
      </c>
      <c r="D75" s="14" t="s">
        <v>191</v>
      </c>
      <c r="E75" t="s">
        <v>169</v>
      </c>
    </row>
    <row r="76" spans="1:10" x14ac:dyDescent="0.3">
      <c r="A76">
        <v>12.75</v>
      </c>
      <c r="B76" t="s">
        <v>239</v>
      </c>
      <c r="C76" t="s">
        <v>261</v>
      </c>
      <c r="D76" t="s">
        <v>262</v>
      </c>
      <c r="E76" s="9">
        <v>30000000</v>
      </c>
      <c r="H76" s="57">
        <f>IF(SUM(E76:E$76)&lt;E$107,E76,E$133-SUM(E75:E$75))</f>
        <v>30000000</v>
      </c>
      <c r="I76" s="57">
        <f>H76*A76</f>
        <v>382500000</v>
      </c>
    </row>
    <row r="77" spans="1:10" x14ac:dyDescent="0.3">
      <c r="A77">
        <v>14.51</v>
      </c>
      <c r="B77" t="s">
        <v>263</v>
      </c>
      <c r="C77" t="s">
        <v>264</v>
      </c>
      <c r="D77" t="s">
        <v>265</v>
      </c>
      <c r="E77" s="9">
        <v>750000</v>
      </c>
      <c r="H77" s="57">
        <f>IF(SUM(E$76:E77)&lt;E$107,E77,E$133-SUM(E$75:E76))</f>
        <v>750000</v>
      </c>
      <c r="I77" s="57">
        <f t="shared" ref="I77:I80" si="1">H77*A77</f>
        <v>10882500</v>
      </c>
    </row>
    <row r="78" spans="1:10" x14ac:dyDescent="0.3">
      <c r="A78">
        <v>15</v>
      </c>
      <c r="B78" t="s">
        <v>195</v>
      </c>
      <c r="C78" t="s">
        <v>266</v>
      </c>
      <c r="D78" t="s">
        <v>197</v>
      </c>
      <c r="E78" s="9">
        <v>1000000</v>
      </c>
      <c r="H78" s="57">
        <f>IF(SUM(E$76:E78)&lt;E$107,E78,E$133-SUM(E$75:E77))</f>
        <v>1000000</v>
      </c>
      <c r="I78" s="57">
        <f t="shared" si="1"/>
        <v>15000000</v>
      </c>
    </row>
    <row r="79" spans="1:10" x14ac:dyDescent="0.3">
      <c r="A79">
        <v>20.99</v>
      </c>
      <c r="B79" t="s">
        <v>267</v>
      </c>
      <c r="C79" t="s">
        <v>268</v>
      </c>
      <c r="D79" t="s">
        <v>269</v>
      </c>
      <c r="E79" s="9">
        <v>489175</v>
      </c>
      <c r="H79" s="57">
        <f>IF(SUM(E$76:E79)&lt;E$107,E79,E$133-SUM(E$75:E78))</f>
        <v>489175</v>
      </c>
      <c r="I79" s="57">
        <f t="shared" si="1"/>
        <v>10267783.25</v>
      </c>
    </row>
    <row r="80" spans="1:10" x14ac:dyDescent="0.3">
      <c r="A80">
        <v>21.625</v>
      </c>
      <c r="B80" t="s">
        <v>270</v>
      </c>
      <c r="C80" t="s">
        <v>271</v>
      </c>
      <c r="D80" t="s">
        <v>272</v>
      </c>
      <c r="E80" s="9">
        <v>60000000</v>
      </c>
      <c r="H80" s="57">
        <f>IF(SUM(E$76:E80)&lt;E$107,E80,E$133-SUM(E$75:E79))</f>
        <v>107028714.91317141</v>
      </c>
      <c r="I80" s="57">
        <f t="shared" si="1"/>
        <v>2314495959.9973316</v>
      </c>
    </row>
    <row r="81" spans="1:9" x14ac:dyDescent="0.3">
      <c r="A81">
        <v>23.196000000000002</v>
      </c>
      <c r="B81" t="s">
        <v>273</v>
      </c>
      <c r="C81" t="s">
        <v>268</v>
      </c>
      <c r="D81" t="s">
        <v>274</v>
      </c>
      <c r="E81" s="9">
        <v>22000000</v>
      </c>
      <c r="H81" s="57">
        <f>IF(SUM(E$76:E81)&lt;E$107,E81,E$133-SUM(E$75:E80))</f>
        <v>47028714.913171411</v>
      </c>
      <c r="I81" s="57">
        <f t="shared" ref="I81" si="2">H81*A81</f>
        <v>1090878071.1259241</v>
      </c>
    </row>
    <row r="82" spans="1:9" x14ac:dyDescent="0.3">
      <c r="A82">
        <v>23.305</v>
      </c>
      <c r="B82" t="s">
        <v>239</v>
      </c>
      <c r="C82" t="s">
        <v>275</v>
      </c>
      <c r="D82" t="s">
        <v>262</v>
      </c>
      <c r="E82" s="9">
        <v>30000000</v>
      </c>
      <c r="H82" s="57">
        <f>IF(SUM(E$76:E82)&lt;E$107,E82,E$133-SUM(E$75:E81))</f>
        <v>25028714.913171411</v>
      </c>
      <c r="I82" s="57">
        <f t="shared" ref="I82:I85" si="3">H82*A82</f>
        <v>583294201.05145967</v>
      </c>
    </row>
    <row r="83" spans="1:9" x14ac:dyDescent="0.3">
      <c r="A83">
        <v>23.333333333333332</v>
      </c>
      <c r="B83" t="s">
        <v>195</v>
      </c>
      <c r="C83" t="s">
        <v>276</v>
      </c>
      <c r="D83" t="s">
        <v>197</v>
      </c>
      <c r="E83" s="9">
        <v>1000000</v>
      </c>
      <c r="H83" s="57">
        <f>IF(SUM(E$76:E83)&lt;E$107,E83,E$133-SUM(E$75:E82))</f>
        <v>-4971285.0868285894</v>
      </c>
      <c r="I83" s="57">
        <f t="shared" si="3"/>
        <v>-115996652.02600041</v>
      </c>
    </row>
    <row r="84" spans="1:9" x14ac:dyDescent="0.3">
      <c r="A84">
        <v>25.76</v>
      </c>
      <c r="B84" t="s">
        <v>277</v>
      </c>
      <c r="C84" t="s">
        <v>268</v>
      </c>
      <c r="D84" t="s">
        <v>278</v>
      </c>
      <c r="E84" s="9">
        <v>16706637</v>
      </c>
      <c r="H84" s="57">
        <f>IF(SUM(E$76:E84)&lt;E$107,E84,E$133-SUM(E$75:E83))</f>
        <v>-5971285.0868285894</v>
      </c>
      <c r="I84" s="57">
        <f t="shared" si="3"/>
        <v>-153820303.83670446</v>
      </c>
    </row>
    <row r="85" spans="1:9" x14ac:dyDescent="0.3">
      <c r="A85">
        <v>27.25</v>
      </c>
      <c r="B85" t="s">
        <v>200</v>
      </c>
      <c r="C85" t="s">
        <v>279</v>
      </c>
      <c r="D85" t="s">
        <v>280</v>
      </c>
      <c r="E85" s="9">
        <v>30000000</v>
      </c>
      <c r="H85" s="57">
        <f>IF(SUM(E$76:E85)&lt;E$107,E85,E$133-SUM(E$75:E84))</f>
        <v>-22677922.086828589</v>
      </c>
      <c r="I85" s="57">
        <f t="shared" si="3"/>
        <v>-617973376.86607909</v>
      </c>
    </row>
    <row r="86" spans="1:9" x14ac:dyDescent="0.3">
      <c r="A86">
        <v>27.48</v>
      </c>
      <c r="B86" t="s">
        <v>281</v>
      </c>
      <c r="C86" t="s">
        <v>215</v>
      </c>
      <c r="D86" t="s">
        <v>282</v>
      </c>
      <c r="E86" s="9">
        <v>5000000</v>
      </c>
      <c r="H86" s="57"/>
      <c r="I86" s="57"/>
    </row>
    <row r="87" spans="1:9" x14ac:dyDescent="0.3">
      <c r="A87">
        <v>28.125</v>
      </c>
      <c r="B87" t="s">
        <v>283</v>
      </c>
      <c r="C87" t="s">
        <v>284</v>
      </c>
      <c r="D87" t="s">
        <v>285</v>
      </c>
      <c r="E87" s="9">
        <v>34675000</v>
      </c>
      <c r="H87" s="57"/>
      <c r="I87" s="57"/>
    </row>
    <row r="88" spans="1:9" x14ac:dyDescent="0.3">
      <c r="A88">
        <v>29.64</v>
      </c>
      <c r="B88" t="s">
        <v>286</v>
      </c>
      <c r="C88" t="s">
        <v>276</v>
      </c>
      <c r="D88" t="s">
        <v>287</v>
      </c>
      <c r="E88" s="9">
        <v>59000000</v>
      </c>
      <c r="H88" s="57"/>
      <c r="I88" s="57"/>
    </row>
    <row r="89" spans="1:9" x14ac:dyDescent="0.3">
      <c r="A89">
        <v>29.83</v>
      </c>
      <c r="B89" t="s">
        <v>288</v>
      </c>
      <c r="C89" t="s">
        <v>215</v>
      </c>
      <c r="D89" t="s">
        <v>289</v>
      </c>
      <c r="E89" s="9">
        <v>30000000</v>
      </c>
    </row>
    <row r="90" spans="1:9" x14ac:dyDescent="0.3">
      <c r="A90">
        <v>34.43333333333333</v>
      </c>
      <c r="B90" t="s">
        <v>200</v>
      </c>
      <c r="C90" t="s">
        <v>290</v>
      </c>
      <c r="D90" t="s">
        <v>291</v>
      </c>
      <c r="E90" s="9">
        <v>30000000</v>
      </c>
    </row>
    <row r="91" spans="1:9" x14ac:dyDescent="0.3">
      <c r="A91">
        <v>37.4</v>
      </c>
      <c r="B91" t="s">
        <v>270</v>
      </c>
      <c r="C91" t="s">
        <v>264</v>
      </c>
      <c r="D91" t="s">
        <v>272</v>
      </c>
      <c r="E91" s="9">
        <v>60000000</v>
      </c>
    </row>
    <row r="92" spans="1:9" x14ac:dyDescent="0.3">
      <c r="A92">
        <v>37.58</v>
      </c>
      <c r="B92" t="s">
        <v>277</v>
      </c>
      <c r="C92" t="s">
        <v>261</v>
      </c>
      <c r="D92" t="s">
        <v>278</v>
      </c>
      <c r="E92" s="9">
        <v>16706637</v>
      </c>
    </row>
    <row r="93" spans="1:9" x14ac:dyDescent="0.3">
      <c r="A93">
        <v>39.115000000000002</v>
      </c>
      <c r="B93" t="s">
        <v>239</v>
      </c>
      <c r="C93" t="s">
        <v>292</v>
      </c>
      <c r="D93" t="s">
        <v>262</v>
      </c>
      <c r="E93" s="9">
        <v>30000000</v>
      </c>
    </row>
    <row r="94" spans="1:9" x14ac:dyDescent="0.3">
      <c r="A94">
        <v>39.125</v>
      </c>
      <c r="B94" t="s">
        <v>200</v>
      </c>
      <c r="C94" t="s">
        <v>271</v>
      </c>
      <c r="D94" t="s">
        <v>280</v>
      </c>
      <c r="E94" s="9">
        <v>30000000</v>
      </c>
    </row>
    <row r="95" spans="1:9" x14ac:dyDescent="0.3">
      <c r="A95">
        <v>45.245000000000005</v>
      </c>
      <c r="B95" t="s">
        <v>267</v>
      </c>
      <c r="C95" t="s">
        <v>293</v>
      </c>
      <c r="D95" t="s">
        <v>294</v>
      </c>
      <c r="E95" s="9">
        <v>16642847</v>
      </c>
    </row>
    <row r="96" spans="1:9" x14ac:dyDescent="0.3">
      <c r="A96">
        <v>48</v>
      </c>
      <c r="B96" t="s">
        <v>295</v>
      </c>
      <c r="C96" t="s">
        <v>290</v>
      </c>
      <c r="D96" t="s">
        <v>296</v>
      </c>
      <c r="E96" s="9">
        <v>100000000</v>
      </c>
    </row>
    <row r="97" spans="1:11" ht="15" thickBot="1" x14ac:dyDescent="0.35">
      <c r="A97">
        <v>48.49</v>
      </c>
      <c r="B97" t="s">
        <v>239</v>
      </c>
      <c r="C97" t="s">
        <v>297</v>
      </c>
      <c r="D97" t="s">
        <v>262</v>
      </c>
      <c r="E97" s="9">
        <v>30000000</v>
      </c>
    </row>
    <row r="98" spans="1:11" x14ac:dyDescent="0.3">
      <c r="A98">
        <v>54</v>
      </c>
      <c r="B98" t="s">
        <v>295</v>
      </c>
      <c r="C98" t="s">
        <v>284</v>
      </c>
      <c r="D98" t="s">
        <v>296</v>
      </c>
      <c r="E98" s="9">
        <v>100000000</v>
      </c>
      <c r="G98" s="112"/>
      <c r="H98" s="113"/>
      <c r="I98" s="113"/>
      <c r="J98" s="113"/>
      <c r="K98" s="114"/>
    </row>
    <row r="99" spans="1:11" x14ac:dyDescent="0.3">
      <c r="A99">
        <v>54.22</v>
      </c>
      <c r="B99" t="s">
        <v>267</v>
      </c>
      <c r="C99" t="s">
        <v>298</v>
      </c>
      <c r="D99" t="s">
        <v>294</v>
      </c>
      <c r="E99" s="9">
        <v>16642847</v>
      </c>
      <c r="G99" s="115"/>
      <c r="K99" s="116"/>
    </row>
    <row r="100" spans="1:11" ht="18" x14ac:dyDescent="0.35">
      <c r="A100">
        <v>54.75</v>
      </c>
      <c r="B100" t="s">
        <v>200</v>
      </c>
      <c r="C100" t="s">
        <v>268</v>
      </c>
      <c r="D100" t="s">
        <v>299</v>
      </c>
      <c r="E100" s="9">
        <v>69350000</v>
      </c>
      <c r="G100" s="115"/>
      <c r="H100" s="220" t="s">
        <v>18</v>
      </c>
      <c r="I100" s="220"/>
      <c r="J100" s="220"/>
      <c r="K100" s="116"/>
    </row>
    <row r="101" spans="1:11" x14ac:dyDescent="0.3">
      <c r="A101">
        <v>54.94</v>
      </c>
      <c r="B101" t="s">
        <v>288</v>
      </c>
      <c r="C101" t="s">
        <v>215</v>
      </c>
      <c r="D101" t="s">
        <v>300</v>
      </c>
      <c r="E101" s="9">
        <v>69350000</v>
      </c>
      <c r="G101" s="115"/>
      <c r="K101" s="116"/>
    </row>
    <row r="102" spans="1:11" x14ac:dyDescent="0.3">
      <c r="A102" t="s">
        <v>259</v>
      </c>
      <c r="E102" s="9">
        <v>889313143</v>
      </c>
      <c r="G102" s="115"/>
      <c r="H102" s="50" t="s">
        <v>187</v>
      </c>
      <c r="J102" s="42" t="s">
        <v>188</v>
      </c>
      <c r="K102" s="116"/>
    </row>
    <row r="103" spans="1:11" x14ac:dyDescent="0.3">
      <c r="E103" s="9"/>
      <c r="G103" s="115"/>
      <c r="H103" s="50"/>
      <c r="J103" s="42"/>
      <c r="K103" s="116"/>
    </row>
    <row r="104" spans="1:11" x14ac:dyDescent="0.3">
      <c r="E104" s="9"/>
      <c r="G104" s="115"/>
      <c r="H104" s="50"/>
      <c r="J104" s="42"/>
      <c r="K104" s="116"/>
    </row>
    <row r="105" spans="1:11" x14ac:dyDescent="0.3">
      <c r="E105" s="9"/>
      <c r="G105" s="115"/>
      <c r="H105" s="50"/>
      <c r="J105" s="42"/>
      <c r="K105" s="116"/>
    </row>
    <row r="106" spans="1:11" ht="15" thickBot="1" x14ac:dyDescent="0.35">
      <c r="E106" s="9"/>
      <c r="G106" s="115"/>
      <c r="K106" s="116"/>
    </row>
    <row r="107" spans="1:11" ht="15" thickBot="1" x14ac:dyDescent="0.35">
      <c r="D107" s="22" t="s">
        <v>260</v>
      </c>
      <c r="E107" s="57">
        <f>'Table 1 - Volumes'!K11*1000000</f>
        <v>79922609.084847599</v>
      </c>
      <c r="G107" s="115"/>
      <c r="H107" s="64">
        <f>SUM(I76:I78)/SUM(H76:H78)</f>
        <v>12.862440944881889</v>
      </c>
      <c r="J107" s="73">
        <f>CIA_bio_T0</f>
        <v>42.5</v>
      </c>
      <c r="K107" s="116"/>
    </row>
    <row r="108" spans="1:11" x14ac:dyDescent="0.3">
      <c r="G108" s="115"/>
      <c r="K108" s="116"/>
    </row>
    <row r="109" spans="1:11" ht="15" thickBot="1" x14ac:dyDescent="0.35">
      <c r="F109" s="9"/>
      <c r="G109" s="117"/>
      <c r="H109" s="18"/>
      <c r="I109" s="18"/>
      <c r="J109" s="18"/>
      <c r="K109" s="118"/>
    </row>
    <row r="110" spans="1:11" x14ac:dyDescent="0.3">
      <c r="A110" s="14" t="s">
        <v>184</v>
      </c>
      <c r="B110" t="s">
        <v>87</v>
      </c>
      <c r="F110" s="9"/>
    </row>
    <row r="111" spans="1:11" ht="18" x14ac:dyDescent="0.35">
      <c r="A111" s="14" t="s">
        <v>3</v>
      </c>
      <c r="B111" s="63">
        <v>45292</v>
      </c>
      <c r="H111" s="220" t="s">
        <v>87</v>
      </c>
      <c r="I111" s="220"/>
      <c r="J111" s="220"/>
    </row>
    <row r="113" spans="1:11" x14ac:dyDescent="0.3">
      <c r="A113" s="14" t="s">
        <v>186</v>
      </c>
      <c r="H113" s="50" t="s">
        <v>187</v>
      </c>
      <c r="J113" s="42" t="s">
        <v>188</v>
      </c>
    </row>
    <row r="114" spans="1:11" x14ac:dyDescent="0.3">
      <c r="A114" s="14" t="s">
        <v>123</v>
      </c>
      <c r="B114" s="14" t="s">
        <v>189</v>
      </c>
      <c r="C114" s="14" t="s">
        <v>190</v>
      </c>
      <c r="D114" s="14" t="s">
        <v>191</v>
      </c>
      <c r="E114" t="s">
        <v>169</v>
      </c>
    </row>
    <row r="115" spans="1:11" x14ac:dyDescent="0.3">
      <c r="A115">
        <v>25.75</v>
      </c>
      <c r="B115" t="s">
        <v>301</v>
      </c>
      <c r="C115" t="s">
        <v>302</v>
      </c>
      <c r="D115" t="s">
        <v>303</v>
      </c>
      <c r="E115" s="9">
        <v>75000000</v>
      </c>
      <c r="H115" s="57">
        <f>IF(SUM(E$115:E115)&lt;E$133,E115,E$133-SUM(E$114:E114))</f>
        <v>75000000</v>
      </c>
      <c r="I115" s="57">
        <f>H115*A115</f>
        <v>1931250000</v>
      </c>
    </row>
    <row r="116" spans="1:11" x14ac:dyDescent="0.3">
      <c r="A116">
        <v>26.94</v>
      </c>
      <c r="B116" t="s">
        <v>273</v>
      </c>
      <c r="C116" t="s">
        <v>304</v>
      </c>
      <c r="D116" t="s">
        <v>305</v>
      </c>
      <c r="E116" s="9">
        <v>180000000</v>
      </c>
      <c r="H116" s="57">
        <f>IF(SUM(E$115:E116)&lt;E$133,E116,E$133-SUM(E$114:E115))</f>
        <v>64267889.913171411</v>
      </c>
      <c r="I116" s="57">
        <f t="shared" ref="I116" si="4">H116*A116</f>
        <v>1731376954.2608378</v>
      </c>
    </row>
    <row r="117" spans="1:11" x14ac:dyDescent="0.3">
      <c r="A117">
        <v>29.47666666666667</v>
      </c>
      <c r="B117" t="s">
        <v>192</v>
      </c>
      <c r="C117" t="s">
        <v>245</v>
      </c>
      <c r="D117" t="s">
        <v>306</v>
      </c>
      <c r="E117" s="9">
        <v>571200</v>
      </c>
      <c r="H117" s="57"/>
      <c r="I117" s="57"/>
    </row>
    <row r="118" spans="1:11" x14ac:dyDescent="0.3">
      <c r="A118">
        <v>31.821428571428573</v>
      </c>
      <c r="B118" t="s">
        <v>301</v>
      </c>
      <c r="C118" t="s">
        <v>307</v>
      </c>
      <c r="D118" t="s">
        <v>303</v>
      </c>
      <c r="E118" s="9">
        <v>75000000</v>
      </c>
      <c r="H118" s="57"/>
      <c r="I118" s="57"/>
    </row>
    <row r="119" spans="1:11" x14ac:dyDescent="0.3">
      <c r="A119">
        <v>32.75</v>
      </c>
      <c r="B119" t="s">
        <v>301</v>
      </c>
      <c r="C119" t="s">
        <v>308</v>
      </c>
      <c r="D119" t="s">
        <v>303</v>
      </c>
      <c r="E119" s="9">
        <v>75000000</v>
      </c>
      <c r="H119" s="57"/>
      <c r="I119" s="57"/>
    </row>
    <row r="120" spans="1:11" ht="15" thickBot="1" x14ac:dyDescent="0.35">
      <c r="A120">
        <v>34.76</v>
      </c>
      <c r="B120" t="s">
        <v>309</v>
      </c>
      <c r="C120" t="s">
        <v>304</v>
      </c>
      <c r="D120" t="s">
        <v>310</v>
      </c>
      <c r="E120" s="9">
        <v>290756447</v>
      </c>
    </row>
    <row r="121" spans="1:11" x14ac:dyDescent="0.3">
      <c r="A121">
        <v>39.953333333333326</v>
      </c>
      <c r="B121" t="s">
        <v>311</v>
      </c>
      <c r="C121" t="s">
        <v>307</v>
      </c>
      <c r="D121" t="s">
        <v>312</v>
      </c>
      <c r="E121" s="9">
        <v>153300000</v>
      </c>
      <c r="G121" s="112"/>
      <c r="H121" s="113"/>
      <c r="I121" s="113"/>
      <c r="J121" s="113"/>
      <c r="K121" s="114"/>
    </row>
    <row r="122" spans="1:11" ht="18" x14ac:dyDescent="0.35">
      <c r="A122">
        <v>40.409999999999997</v>
      </c>
      <c r="B122" t="s">
        <v>192</v>
      </c>
      <c r="C122" t="s">
        <v>313</v>
      </c>
      <c r="D122" t="s">
        <v>306</v>
      </c>
      <c r="E122" s="9">
        <v>571200</v>
      </c>
      <c r="G122" s="115"/>
      <c r="H122" s="220" t="s">
        <v>87</v>
      </c>
      <c r="I122" s="220"/>
      <c r="J122" s="220"/>
      <c r="K122" s="116"/>
    </row>
    <row r="123" spans="1:11" x14ac:dyDescent="0.3">
      <c r="A123">
        <v>45</v>
      </c>
      <c r="B123" t="s">
        <v>295</v>
      </c>
      <c r="C123" t="s">
        <v>314</v>
      </c>
      <c r="D123" t="s">
        <v>315</v>
      </c>
      <c r="E123" s="9">
        <v>109000000</v>
      </c>
      <c r="G123" s="115"/>
      <c r="K123" s="116"/>
    </row>
    <row r="124" spans="1:11" x14ac:dyDescent="0.3">
      <c r="A124">
        <v>50.5</v>
      </c>
      <c r="B124" t="s">
        <v>295</v>
      </c>
      <c r="C124" t="s">
        <v>316</v>
      </c>
      <c r="D124" t="s">
        <v>315</v>
      </c>
      <c r="E124" s="9">
        <v>109000000</v>
      </c>
      <c r="G124" s="115"/>
      <c r="H124" s="50" t="s">
        <v>187</v>
      </c>
      <c r="J124" s="42" t="s">
        <v>188</v>
      </c>
      <c r="K124" s="116"/>
    </row>
    <row r="125" spans="1:11" x14ac:dyDescent="0.3">
      <c r="A125">
        <v>50.655999999999999</v>
      </c>
      <c r="B125" t="s">
        <v>273</v>
      </c>
      <c r="C125" t="s">
        <v>302</v>
      </c>
      <c r="D125" t="s">
        <v>305</v>
      </c>
      <c r="E125" s="9">
        <v>180000000</v>
      </c>
      <c r="G125" s="115"/>
      <c r="H125" s="50"/>
      <c r="J125" s="42"/>
      <c r="K125" s="116"/>
    </row>
    <row r="126" spans="1:11" x14ac:dyDescent="0.3">
      <c r="A126">
        <v>56.81</v>
      </c>
      <c r="B126" t="s">
        <v>192</v>
      </c>
      <c r="C126" t="s">
        <v>304</v>
      </c>
      <c r="D126" t="s">
        <v>306</v>
      </c>
      <c r="E126" s="9">
        <v>571200</v>
      </c>
      <c r="G126" s="115"/>
      <c r="H126" s="50"/>
      <c r="J126" s="42"/>
      <c r="K126" s="116"/>
    </row>
    <row r="127" spans="1:11" x14ac:dyDescent="0.3">
      <c r="A127">
        <v>63</v>
      </c>
      <c r="B127" t="s">
        <v>295</v>
      </c>
      <c r="C127" t="s">
        <v>317</v>
      </c>
      <c r="D127" t="s">
        <v>315</v>
      </c>
      <c r="E127" s="9">
        <v>109000000</v>
      </c>
      <c r="G127" s="115"/>
      <c r="H127" s="50"/>
      <c r="J127" s="42"/>
      <c r="K127" s="116"/>
    </row>
    <row r="128" spans="1:11" x14ac:dyDescent="0.3">
      <c r="A128" t="s">
        <v>259</v>
      </c>
      <c r="E128" s="9">
        <v>1357770047</v>
      </c>
      <c r="G128" s="115"/>
      <c r="H128" s="50"/>
      <c r="J128" s="42"/>
      <c r="K128" s="116"/>
    </row>
    <row r="129" spans="1:11" x14ac:dyDescent="0.3">
      <c r="E129" s="9"/>
      <c r="G129" s="115"/>
      <c r="H129" s="50"/>
      <c r="J129" s="42"/>
      <c r="K129" s="116"/>
    </row>
    <row r="130" spans="1:11" x14ac:dyDescent="0.3">
      <c r="E130" s="9"/>
      <c r="G130" s="115"/>
      <c r="H130" s="50"/>
      <c r="J130" s="42"/>
      <c r="K130" s="116"/>
    </row>
    <row r="131" spans="1:11" x14ac:dyDescent="0.3">
      <c r="E131" s="9"/>
      <c r="G131" s="115"/>
      <c r="H131" s="50"/>
      <c r="J131" s="42"/>
      <c r="K131" s="116"/>
    </row>
    <row r="132" spans="1:11" ht="15" thickBot="1" x14ac:dyDescent="0.35">
      <c r="E132" s="9"/>
      <c r="G132" s="115"/>
      <c r="K132" s="116"/>
    </row>
    <row r="133" spans="1:11" ht="15" thickBot="1" x14ac:dyDescent="0.35">
      <c r="D133" s="22" t="s">
        <v>260</v>
      </c>
      <c r="E133" s="57">
        <f>'Table 1 - Volumes'!K13*1000000</f>
        <v>139267889.91317141</v>
      </c>
      <c r="G133" s="115"/>
      <c r="H133" s="64">
        <f>SUM(I115:I116)/SUM(H115:H116)</f>
        <v>26.299148759590999</v>
      </c>
      <c r="J133" s="80">
        <f>CIA_ren_T0</f>
        <v>37</v>
      </c>
      <c r="K133" s="116"/>
    </row>
    <row r="134" spans="1:11" ht="15" thickBot="1" x14ac:dyDescent="0.35">
      <c r="E134" s="9"/>
      <c r="G134" s="117"/>
      <c r="H134" s="18"/>
      <c r="I134" s="18"/>
      <c r="J134" s="18"/>
      <c r="K134" s="118"/>
    </row>
    <row r="136" spans="1:11" ht="18" x14ac:dyDescent="0.35">
      <c r="A136" s="14" t="s">
        <v>184</v>
      </c>
      <c r="B136" t="s">
        <v>318</v>
      </c>
      <c r="F136" s="9"/>
      <c r="H136" s="220" t="s">
        <v>98</v>
      </c>
      <c r="I136" s="220"/>
      <c r="J136" s="220"/>
    </row>
    <row r="137" spans="1:11" x14ac:dyDescent="0.3">
      <c r="A137" s="14" t="s">
        <v>3</v>
      </c>
      <c r="B137" s="63">
        <v>45292</v>
      </c>
    </row>
    <row r="139" spans="1:11" x14ac:dyDescent="0.3">
      <c r="A139" s="14" t="s">
        <v>186</v>
      </c>
      <c r="H139" s="50" t="s">
        <v>187</v>
      </c>
      <c r="J139" s="42" t="s">
        <v>188</v>
      </c>
    </row>
    <row r="140" spans="1:11" x14ac:dyDescent="0.3">
      <c r="A140" s="14" t="s">
        <v>123</v>
      </c>
      <c r="B140" s="14" t="s">
        <v>189</v>
      </c>
      <c r="C140" s="14" t="s">
        <v>190</v>
      </c>
      <c r="D140" s="14" t="s">
        <v>191</v>
      </c>
      <c r="E140" t="s">
        <v>169</v>
      </c>
      <c r="F140" s="198" t="s">
        <v>319</v>
      </c>
    </row>
    <row r="141" spans="1:11" x14ac:dyDescent="0.3">
      <c r="A141">
        <v>45.35</v>
      </c>
      <c r="B141" t="s">
        <v>320</v>
      </c>
      <c r="C141" t="s">
        <v>235</v>
      </c>
      <c r="D141" t="s">
        <v>321</v>
      </c>
      <c r="E141" s="9">
        <v>9771416</v>
      </c>
      <c r="F141" s="9">
        <f t="shared" ref="F141:F151" si="5">E141/F$156</f>
        <v>79075.956947479164</v>
      </c>
      <c r="H141" s="57">
        <f>IF(SUM(F$141:F141)&lt;E$156,F141,E$156-SUM(F$140:F140))</f>
        <v>79075.956947479164</v>
      </c>
      <c r="I141" s="57">
        <f>H141*A141</f>
        <v>3586094.6475681802</v>
      </c>
    </row>
    <row r="142" spans="1:11" x14ac:dyDescent="0.3">
      <c r="A142">
        <v>46.116666666666667</v>
      </c>
      <c r="B142" t="s">
        <v>320</v>
      </c>
      <c r="C142" t="s">
        <v>231</v>
      </c>
      <c r="D142" t="s">
        <v>321</v>
      </c>
      <c r="E142" s="9">
        <v>1229728258</v>
      </c>
      <c r="F142" s="9">
        <f t="shared" si="5"/>
        <v>9951673.2054705843</v>
      </c>
      <c r="H142" s="57">
        <f>IF(SUM(F$141:F142)&lt;E$156,F142,E$156-SUM(F$140:F141))</f>
        <v>3999400.5030525196</v>
      </c>
      <c r="I142" s="57">
        <f>H142*A142</f>
        <v>184439019.86577204</v>
      </c>
    </row>
    <row r="143" spans="1:11" x14ac:dyDescent="0.3">
      <c r="A143">
        <v>46.5</v>
      </c>
      <c r="B143" t="s">
        <v>320</v>
      </c>
      <c r="C143" t="s">
        <v>314</v>
      </c>
      <c r="D143" t="s">
        <v>321</v>
      </c>
      <c r="E143" s="9">
        <v>9771416</v>
      </c>
      <c r="F143" s="9">
        <f t="shared" si="5"/>
        <v>79075.956947479164</v>
      </c>
      <c r="H143" s="57"/>
      <c r="I143" s="57"/>
    </row>
    <row r="144" spans="1:11" x14ac:dyDescent="0.3">
      <c r="C144" t="s">
        <v>322</v>
      </c>
      <c r="D144" t="s">
        <v>321</v>
      </c>
      <c r="E144" s="9">
        <v>9771416</v>
      </c>
      <c r="F144" s="9">
        <f t="shared" si="5"/>
        <v>79075.956947479164</v>
      </c>
      <c r="H144" s="57"/>
      <c r="I144" s="57"/>
    </row>
    <row r="145" spans="1:11" x14ac:dyDescent="0.3">
      <c r="A145">
        <v>57.11</v>
      </c>
      <c r="B145" t="s">
        <v>323</v>
      </c>
      <c r="C145" t="s">
        <v>231</v>
      </c>
      <c r="D145" t="s">
        <v>324</v>
      </c>
      <c r="E145" s="9">
        <v>1178801445</v>
      </c>
      <c r="F145" s="9">
        <f t="shared" si="5"/>
        <v>9539543.9427045397</v>
      </c>
      <c r="H145" s="57"/>
      <c r="I145" s="57"/>
    </row>
    <row r="146" spans="1:11" x14ac:dyDescent="0.3">
      <c r="A146" t="s">
        <v>259</v>
      </c>
      <c r="E146" s="9">
        <v>2437843951</v>
      </c>
      <c r="F146" s="9">
        <f t="shared" si="5"/>
        <v>19728445.019017562</v>
      </c>
      <c r="H146" s="57"/>
      <c r="I146" s="57"/>
    </row>
    <row r="147" spans="1:11" x14ac:dyDescent="0.3">
      <c r="F147" s="9">
        <f t="shared" si="5"/>
        <v>0</v>
      </c>
      <c r="H147" s="57"/>
      <c r="I147" s="57"/>
    </row>
    <row r="148" spans="1:11" ht="15" thickBot="1" x14ac:dyDescent="0.35">
      <c r="F148" s="9">
        <f t="shared" si="5"/>
        <v>0</v>
      </c>
      <c r="H148" s="57"/>
      <c r="I148" s="57"/>
    </row>
    <row r="149" spans="1:11" x14ac:dyDescent="0.3">
      <c r="F149" s="9">
        <f t="shared" si="5"/>
        <v>0</v>
      </c>
      <c r="G149" s="112"/>
      <c r="H149" s="113"/>
      <c r="I149" s="113"/>
      <c r="J149" s="113"/>
      <c r="K149" s="114"/>
    </row>
    <row r="150" spans="1:11" ht="18" x14ac:dyDescent="0.35">
      <c r="F150" s="9">
        <f t="shared" si="5"/>
        <v>0</v>
      </c>
      <c r="G150" s="115"/>
      <c r="H150" s="220" t="s">
        <v>98</v>
      </c>
      <c r="I150" s="220"/>
      <c r="J150" s="220"/>
      <c r="K150" s="116"/>
    </row>
    <row r="151" spans="1:11" x14ac:dyDescent="0.3">
      <c r="F151" s="9">
        <f t="shared" si="5"/>
        <v>0</v>
      </c>
      <c r="G151" s="115"/>
      <c r="K151" s="116"/>
    </row>
    <row r="152" spans="1:11" x14ac:dyDescent="0.3">
      <c r="G152" s="115"/>
      <c r="H152" s="50" t="s">
        <v>187</v>
      </c>
      <c r="J152" s="42" t="s">
        <v>188</v>
      </c>
      <c r="K152" s="116"/>
    </row>
    <row r="153" spans="1:11" ht="15" thickBot="1" x14ac:dyDescent="0.35">
      <c r="E153" s="9"/>
      <c r="G153" s="115"/>
      <c r="K153" s="116"/>
    </row>
    <row r="154" spans="1:11" ht="15" thickBot="1" x14ac:dyDescent="0.35">
      <c r="E154" s="9"/>
      <c r="F154" t="s">
        <v>325</v>
      </c>
      <c r="G154" s="115"/>
      <c r="H154" s="64">
        <f>SUM(I141:I146)/SUM(H141:H146)</f>
        <v>46.101802071781542</v>
      </c>
      <c r="J154" s="73">
        <f>CIA_bgs_T0</f>
        <v>0</v>
      </c>
      <c r="K154" s="116"/>
    </row>
    <row r="155" spans="1:11" ht="15" thickBot="1" x14ac:dyDescent="0.35">
      <c r="E155" s="9"/>
      <c r="G155" s="117"/>
      <c r="H155" s="18"/>
      <c r="I155" s="18"/>
      <c r="J155" s="18"/>
      <c r="K155" s="118"/>
    </row>
    <row r="156" spans="1:11" ht="15" thickBot="1" x14ac:dyDescent="0.35">
      <c r="D156" s="22" t="s">
        <v>260</v>
      </c>
      <c r="E156" s="57">
        <f>'Table 1 - Volumes'!K23*1000000</f>
        <v>4078476.459999999</v>
      </c>
      <c r="F156" s="85">
        <v>123.57</v>
      </c>
    </row>
    <row r="157" spans="1:11" x14ac:dyDescent="0.3">
      <c r="E157" s="9"/>
    </row>
    <row r="158" spans="1:11" x14ac:dyDescent="0.3">
      <c r="E158" s="9"/>
    </row>
    <row r="159" spans="1:11" x14ac:dyDescent="0.3">
      <c r="E159" s="9"/>
    </row>
    <row r="161" spans="5:5" x14ac:dyDescent="0.3">
      <c r="E161" s="9"/>
    </row>
    <row r="162" spans="5:5" x14ac:dyDescent="0.3">
      <c r="E162" s="9"/>
    </row>
    <row r="163" spans="5:5" x14ac:dyDescent="0.3">
      <c r="E163" s="9"/>
    </row>
    <row r="164" spans="5:5" x14ac:dyDescent="0.3">
      <c r="E164" s="9"/>
    </row>
    <row r="165" spans="5:5" x14ac:dyDescent="0.3">
      <c r="E165" s="9"/>
    </row>
    <row r="166" spans="5:5" x14ac:dyDescent="0.3">
      <c r="E166" s="9"/>
    </row>
    <row r="167" spans="5:5" x14ac:dyDescent="0.3">
      <c r="E167" s="9"/>
    </row>
    <row r="168" spans="5:5" x14ac:dyDescent="0.3">
      <c r="E168" s="9"/>
    </row>
    <row r="169" spans="5:5" x14ac:dyDescent="0.3">
      <c r="E169" s="9"/>
    </row>
    <row r="170" spans="5:5" x14ac:dyDescent="0.3">
      <c r="E170" s="9"/>
    </row>
    <row r="171" spans="5:5" x14ac:dyDescent="0.3">
      <c r="E171" s="9"/>
    </row>
    <row r="172" spans="5:5" x14ac:dyDescent="0.3">
      <c r="E172" s="9"/>
    </row>
    <row r="173" spans="5:5" x14ac:dyDescent="0.3">
      <c r="E173" s="9"/>
    </row>
    <row r="174" spans="5:5" x14ac:dyDescent="0.3">
      <c r="E174" s="9"/>
    </row>
    <row r="175" spans="5:5" x14ac:dyDescent="0.3">
      <c r="E175" s="9"/>
    </row>
    <row r="176" spans="5:5" x14ac:dyDescent="0.3">
      <c r="E176" s="9"/>
    </row>
    <row r="177" spans="5:5" x14ac:dyDescent="0.3">
      <c r="E177" s="9"/>
    </row>
    <row r="178" spans="5:5" x14ac:dyDescent="0.3">
      <c r="E178" s="9"/>
    </row>
    <row r="179" spans="5:5" x14ac:dyDescent="0.3">
      <c r="E179" s="9"/>
    </row>
    <row r="180" spans="5:5" x14ac:dyDescent="0.3">
      <c r="E180" s="9"/>
    </row>
    <row r="181" spans="5:5" x14ac:dyDescent="0.3">
      <c r="E181" s="9"/>
    </row>
    <row r="182" spans="5:5" x14ac:dyDescent="0.3">
      <c r="E182" s="9"/>
    </row>
    <row r="183" spans="5:5" x14ac:dyDescent="0.3">
      <c r="E183" s="9"/>
    </row>
    <row r="184" spans="5:5" x14ac:dyDescent="0.3">
      <c r="E184" s="9"/>
    </row>
  </sheetData>
  <mergeCells count="9">
    <mergeCell ref="L1:P3"/>
    <mergeCell ref="H35:J35"/>
    <mergeCell ref="H100:J100"/>
    <mergeCell ref="H122:J122"/>
    <mergeCell ref="H150:J150"/>
    <mergeCell ref="H136:J136"/>
    <mergeCell ref="H111:J111"/>
    <mergeCell ref="H72:J72"/>
    <mergeCell ref="H2:J2"/>
  </mergeCells>
  <pageMargins left="0.7" right="0.7" top="0.75" bottom="0.75" header="0.3" footer="0.3"/>
  <pageSetup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08"/>
  <sheetViews>
    <sheetView zoomScale="75" zoomScaleNormal="75" workbookViewId="0">
      <pane xSplit="5" ySplit="3" topLeftCell="G34" activePane="bottomRight" state="frozen"/>
      <selection pane="topRight" activeCell="E1" sqref="E1"/>
      <selection pane="bottomLeft" activeCell="A4" sqref="A4"/>
      <selection pane="bottomRight" activeCell="M53" sqref="M53:M58"/>
    </sheetView>
  </sheetViews>
  <sheetFormatPr defaultColWidth="8.88671875" defaultRowHeight="14.4" x14ac:dyDescent="0.3"/>
  <cols>
    <col min="1" max="1" width="26.44140625" style="1" bestFit="1" customWidth="1"/>
    <col min="2" max="2" width="18.5546875" style="1" customWidth="1"/>
    <col min="3" max="15" width="14.6640625" style="1" customWidth="1"/>
    <col min="16" max="17" width="15.109375" style="1" customWidth="1"/>
    <col min="18" max="18" width="23.33203125" style="1" customWidth="1"/>
    <col min="19" max="16384" width="8.88671875" style="1"/>
  </cols>
  <sheetData>
    <row r="1" spans="1:18" x14ac:dyDescent="0.3">
      <c r="A1" s="40" t="s">
        <v>326</v>
      </c>
      <c r="B1" s="41">
        <v>0.04</v>
      </c>
      <c r="C1" s="41"/>
      <c r="D1" s="41"/>
      <c r="E1" s="41">
        <v>0.06</v>
      </c>
      <c r="F1" s="41"/>
      <c r="G1" s="41"/>
      <c r="H1" s="41">
        <v>0.05</v>
      </c>
      <c r="K1"/>
      <c r="L1"/>
      <c r="M1"/>
      <c r="N1"/>
      <c r="O1"/>
    </row>
    <row r="2" spans="1:18" x14ac:dyDescent="0.3">
      <c r="E2" s="1">
        <v>10</v>
      </c>
      <c r="K2"/>
      <c r="L2" s="219" t="s">
        <v>85</v>
      </c>
      <c r="M2" s="219"/>
      <c r="N2" s="219"/>
      <c r="O2"/>
      <c r="P2" s="222" t="s">
        <v>327</v>
      </c>
      <c r="Q2" s="222"/>
    </row>
    <row r="3" spans="1:18" ht="28.8" x14ac:dyDescent="0.3">
      <c r="A3" s="11" t="s">
        <v>328</v>
      </c>
      <c r="B3" s="12" t="s">
        <v>329</v>
      </c>
      <c r="C3" s="12" t="s">
        <v>330</v>
      </c>
      <c r="D3" s="12" t="s">
        <v>331</v>
      </c>
      <c r="E3" s="12" t="s">
        <v>332</v>
      </c>
      <c r="F3" s="12" t="s">
        <v>333</v>
      </c>
      <c r="G3" s="12" t="s">
        <v>334</v>
      </c>
      <c r="H3" s="12" t="s">
        <v>335</v>
      </c>
      <c r="I3" s="12" t="s">
        <v>336</v>
      </c>
      <c r="J3" s="12" t="s">
        <v>337</v>
      </c>
      <c r="K3"/>
      <c r="L3" s="44" t="s">
        <v>338</v>
      </c>
      <c r="M3" s="44" t="s">
        <v>339</v>
      </c>
      <c r="N3" s="44" t="s">
        <v>169</v>
      </c>
      <c r="O3"/>
      <c r="P3" s="12" t="s">
        <v>340</v>
      </c>
      <c r="Q3" s="12" t="s">
        <v>341</v>
      </c>
      <c r="R3" s="1" t="s">
        <v>327</v>
      </c>
    </row>
    <row r="4" spans="1:18" x14ac:dyDescent="0.3">
      <c r="A4" s="107">
        <v>41275</v>
      </c>
      <c r="B4" s="108">
        <v>851</v>
      </c>
      <c r="C4" s="10"/>
      <c r="D4" s="10"/>
      <c r="E4" s="108">
        <v>1735</v>
      </c>
      <c r="F4" s="10"/>
      <c r="G4" s="10"/>
      <c r="H4" s="10">
        <f>SUM(B4,E4)</f>
        <v>2586</v>
      </c>
      <c r="I4" s="10"/>
      <c r="J4" s="10"/>
      <c r="K4"/>
      <c r="L4"/>
      <c r="M4"/>
      <c r="N4"/>
      <c r="O4"/>
      <c r="P4" s="10">
        <v>851</v>
      </c>
      <c r="Q4" s="10">
        <v>1735</v>
      </c>
      <c r="R4" s="106">
        <f>+SUM(P4:Q4)</f>
        <v>2586</v>
      </c>
    </row>
    <row r="5" spans="1:18" x14ac:dyDescent="0.3">
      <c r="A5" s="107">
        <v>41365</v>
      </c>
      <c r="B5" s="108">
        <v>987</v>
      </c>
      <c r="C5" s="10"/>
      <c r="D5" s="10"/>
      <c r="E5" s="108">
        <v>2088</v>
      </c>
      <c r="F5" s="10"/>
      <c r="G5" s="10"/>
      <c r="H5" s="10">
        <f t="shared" ref="H5:H39" si="0">SUM(B5,E5)</f>
        <v>3075</v>
      </c>
      <c r="I5" s="10"/>
      <c r="J5" s="10"/>
      <c r="K5"/>
      <c r="L5"/>
      <c r="M5"/>
      <c r="N5"/>
      <c r="O5"/>
      <c r="P5" s="10">
        <v>987</v>
      </c>
      <c r="Q5" s="10">
        <v>2088</v>
      </c>
      <c r="R5" s="106">
        <f t="shared" ref="R5:R63" si="1">+SUM(P5:Q5)</f>
        <v>3075</v>
      </c>
    </row>
    <row r="6" spans="1:18" x14ac:dyDescent="0.3">
      <c r="A6" s="107">
        <v>41456</v>
      </c>
      <c r="B6" s="108">
        <v>1197</v>
      </c>
      <c r="C6" s="10"/>
      <c r="D6" s="10"/>
      <c r="E6" s="108">
        <v>2480</v>
      </c>
      <c r="F6" s="10"/>
      <c r="G6" s="10"/>
      <c r="H6" s="10">
        <f t="shared" si="0"/>
        <v>3677</v>
      </c>
      <c r="I6" s="10"/>
      <c r="J6" s="10"/>
      <c r="K6"/>
      <c r="L6"/>
      <c r="M6"/>
      <c r="N6"/>
      <c r="O6"/>
      <c r="P6" s="10">
        <v>1197</v>
      </c>
      <c r="Q6" s="10">
        <v>2480</v>
      </c>
      <c r="R6" s="106">
        <f t="shared" si="1"/>
        <v>3677</v>
      </c>
    </row>
    <row r="7" spans="1:18" x14ac:dyDescent="0.3">
      <c r="A7" s="107">
        <v>41548</v>
      </c>
      <c r="B7" s="108">
        <v>1581</v>
      </c>
      <c r="C7" s="10"/>
      <c r="D7" s="10"/>
      <c r="E7" s="108">
        <v>2793</v>
      </c>
      <c r="F7" s="10"/>
      <c r="G7" s="10"/>
      <c r="H7" s="10">
        <f t="shared" si="0"/>
        <v>4374</v>
      </c>
      <c r="I7" s="10"/>
      <c r="J7" s="10"/>
      <c r="K7"/>
      <c r="L7"/>
      <c r="M7"/>
      <c r="N7"/>
      <c r="O7"/>
      <c r="P7" s="10">
        <v>1581</v>
      </c>
      <c r="Q7" s="10">
        <v>2793</v>
      </c>
      <c r="R7" s="106">
        <f t="shared" si="1"/>
        <v>4374</v>
      </c>
    </row>
    <row r="8" spans="1:18" x14ac:dyDescent="0.3">
      <c r="A8" s="107">
        <v>41640</v>
      </c>
      <c r="B8" s="108">
        <v>1734</v>
      </c>
      <c r="C8" s="10"/>
      <c r="D8" s="10"/>
      <c r="E8" s="108">
        <v>3028</v>
      </c>
      <c r="F8" s="10"/>
      <c r="G8" s="10"/>
      <c r="H8" s="10">
        <f t="shared" si="0"/>
        <v>4762</v>
      </c>
      <c r="I8" s="10"/>
      <c r="J8" s="10"/>
      <c r="K8"/>
      <c r="L8" s="45">
        <f>B8/B4-1</f>
        <v>1.0376028202115157</v>
      </c>
      <c r="M8" s="45">
        <f>E8/E4-1</f>
        <v>0.74524495677233427</v>
      </c>
      <c r="N8" s="45">
        <f>H8/H4-1</f>
        <v>0.84145398298530538</v>
      </c>
      <c r="O8"/>
      <c r="P8" s="10">
        <v>1734</v>
      </c>
      <c r="Q8" s="10">
        <v>3028</v>
      </c>
      <c r="R8" s="106">
        <f t="shared" si="1"/>
        <v>4762</v>
      </c>
    </row>
    <row r="9" spans="1:18" x14ac:dyDescent="0.3">
      <c r="A9" s="107">
        <v>41730</v>
      </c>
      <c r="B9" s="108">
        <v>1915</v>
      </c>
      <c r="C9" s="10"/>
      <c r="D9" s="10"/>
      <c r="E9" s="108">
        <v>3317</v>
      </c>
      <c r="F9" s="10"/>
      <c r="G9" s="10"/>
      <c r="H9" s="10">
        <f t="shared" si="0"/>
        <v>5232</v>
      </c>
      <c r="I9" s="10"/>
      <c r="J9" s="10"/>
      <c r="K9"/>
      <c r="L9" s="45">
        <f t="shared" ref="L9:L30" si="2">B9/B5-1</f>
        <v>0.94022289766970624</v>
      </c>
      <c r="M9" s="45">
        <f t="shared" ref="M9:M30" si="3">E9/E5-1</f>
        <v>0.58860153256704972</v>
      </c>
      <c r="N9" s="45">
        <f t="shared" ref="N9:N30" si="4">H9/H5-1</f>
        <v>0.7014634146341463</v>
      </c>
      <c r="O9"/>
      <c r="P9" s="10">
        <v>1915</v>
      </c>
      <c r="Q9" s="10">
        <v>3317</v>
      </c>
      <c r="R9" s="106">
        <f t="shared" si="1"/>
        <v>5232</v>
      </c>
    </row>
    <row r="10" spans="1:18" x14ac:dyDescent="0.3">
      <c r="A10" s="107">
        <v>41821</v>
      </c>
      <c r="B10" s="108">
        <v>2214</v>
      </c>
      <c r="C10" s="10"/>
      <c r="D10" s="10"/>
      <c r="E10" s="108">
        <v>3705</v>
      </c>
      <c r="F10" s="10"/>
      <c r="G10" s="10"/>
      <c r="H10" s="10">
        <f t="shared" si="0"/>
        <v>5919</v>
      </c>
      <c r="I10" s="10"/>
      <c r="J10" s="10"/>
      <c r="K10"/>
      <c r="L10" s="45">
        <f t="shared" si="2"/>
        <v>0.84962406015037595</v>
      </c>
      <c r="M10" s="45">
        <f t="shared" si="3"/>
        <v>0.49395161290322576</v>
      </c>
      <c r="N10" s="45">
        <f t="shared" si="4"/>
        <v>0.60973619798748979</v>
      </c>
      <c r="O10"/>
      <c r="P10" s="10">
        <v>2214</v>
      </c>
      <c r="Q10" s="10">
        <v>3705</v>
      </c>
      <c r="R10" s="106">
        <f t="shared" si="1"/>
        <v>5919</v>
      </c>
    </row>
    <row r="11" spans="1:18" x14ac:dyDescent="0.3">
      <c r="A11" s="107">
        <v>41913</v>
      </c>
      <c r="B11" s="108">
        <v>2462</v>
      </c>
      <c r="C11" s="10"/>
      <c r="D11" s="10"/>
      <c r="E11" s="108">
        <v>4180</v>
      </c>
      <c r="F11" s="10"/>
      <c r="G11" s="10"/>
      <c r="H11" s="10">
        <f t="shared" si="0"/>
        <v>6642</v>
      </c>
      <c r="I11" s="10"/>
      <c r="J11" s="10"/>
      <c r="K11"/>
      <c r="L11" s="45">
        <f t="shared" si="2"/>
        <v>0.55724225173940534</v>
      </c>
      <c r="M11" s="45">
        <f t="shared" si="3"/>
        <v>0.49659863945578242</v>
      </c>
      <c r="N11" s="45">
        <f t="shared" si="4"/>
        <v>0.5185185185185186</v>
      </c>
      <c r="O11"/>
      <c r="P11" s="10">
        <v>2462</v>
      </c>
      <c r="Q11" s="10">
        <v>4180</v>
      </c>
      <c r="R11" s="106">
        <f t="shared" si="1"/>
        <v>6642</v>
      </c>
    </row>
    <row r="12" spans="1:18" x14ac:dyDescent="0.3">
      <c r="A12" s="107">
        <v>42005</v>
      </c>
      <c r="B12" s="108">
        <v>2654</v>
      </c>
      <c r="C12" s="10"/>
      <c r="D12" s="10"/>
      <c r="E12" s="108">
        <v>4538</v>
      </c>
      <c r="F12" s="10"/>
      <c r="G12" s="10"/>
      <c r="H12" s="10">
        <f t="shared" si="0"/>
        <v>7192</v>
      </c>
      <c r="I12" s="10"/>
      <c r="J12" s="10"/>
      <c r="K12"/>
      <c r="L12" s="45">
        <f t="shared" si="2"/>
        <v>0.530565167243368</v>
      </c>
      <c r="M12" s="45">
        <f t="shared" si="3"/>
        <v>0.49867899603698818</v>
      </c>
      <c r="N12" s="45">
        <f t="shared" si="4"/>
        <v>0.51028979420411602</v>
      </c>
      <c r="O12"/>
      <c r="P12" s="10">
        <v>2654</v>
      </c>
      <c r="Q12" s="10">
        <v>4538</v>
      </c>
      <c r="R12" s="106">
        <f t="shared" si="1"/>
        <v>7192</v>
      </c>
    </row>
    <row r="13" spans="1:18" x14ac:dyDescent="0.3">
      <c r="A13" s="107">
        <v>42095</v>
      </c>
      <c r="B13" s="108">
        <v>2890</v>
      </c>
      <c r="C13" s="10"/>
      <c r="D13" s="10"/>
      <c r="E13" s="108">
        <v>4995</v>
      </c>
      <c r="F13" s="10"/>
      <c r="G13" s="10"/>
      <c r="H13" s="10">
        <f t="shared" si="0"/>
        <v>7885</v>
      </c>
      <c r="I13" s="10"/>
      <c r="J13" s="10"/>
      <c r="K13"/>
      <c r="L13" s="45">
        <f t="shared" si="2"/>
        <v>0.50913838120104438</v>
      </c>
      <c r="M13" s="45">
        <f t="shared" si="3"/>
        <v>0.50587880615013558</v>
      </c>
      <c r="N13" s="45">
        <f t="shared" si="4"/>
        <v>0.50707186544342497</v>
      </c>
      <c r="O13"/>
      <c r="P13" s="10">
        <v>2890</v>
      </c>
      <c r="Q13" s="10">
        <v>4995</v>
      </c>
      <c r="R13" s="106">
        <f t="shared" si="1"/>
        <v>7885</v>
      </c>
    </row>
    <row r="14" spans="1:18" x14ac:dyDescent="0.3">
      <c r="A14" s="107">
        <v>42186</v>
      </c>
      <c r="B14" s="108">
        <v>3088</v>
      </c>
      <c r="C14" s="10"/>
      <c r="D14" s="10"/>
      <c r="E14" s="108">
        <v>5532</v>
      </c>
      <c r="F14" s="10"/>
      <c r="G14" s="10"/>
      <c r="H14" s="10">
        <f t="shared" si="0"/>
        <v>8620</v>
      </c>
      <c r="I14" s="10"/>
      <c r="J14" s="10"/>
      <c r="K14"/>
      <c r="L14" s="45">
        <f t="shared" si="2"/>
        <v>0.39476061427280928</v>
      </c>
      <c r="M14" s="45">
        <f t="shared" si="3"/>
        <v>0.4931174089068826</v>
      </c>
      <c r="N14" s="45">
        <f t="shared" si="4"/>
        <v>0.4563270822774117</v>
      </c>
      <c r="O14"/>
      <c r="P14" s="10">
        <v>3088</v>
      </c>
      <c r="Q14" s="10">
        <v>5532</v>
      </c>
      <c r="R14" s="106">
        <f t="shared" si="1"/>
        <v>8620</v>
      </c>
    </row>
    <row r="15" spans="1:18" x14ac:dyDescent="0.3">
      <c r="A15" s="107">
        <v>42278</v>
      </c>
      <c r="B15" s="108">
        <v>3371</v>
      </c>
      <c r="C15" s="10"/>
      <c r="D15" s="10"/>
      <c r="E15" s="108">
        <v>5942</v>
      </c>
      <c r="F15" s="10"/>
      <c r="G15" s="10"/>
      <c r="H15" s="10">
        <f t="shared" si="0"/>
        <v>9313</v>
      </c>
      <c r="I15" s="10"/>
      <c r="J15" s="10"/>
      <c r="K15"/>
      <c r="L15" s="45">
        <f t="shared" si="2"/>
        <v>0.36921202274573517</v>
      </c>
      <c r="M15" s="45">
        <f t="shared" si="3"/>
        <v>0.42153110047846898</v>
      </c>
      <c r="N15" s="45">
        <f t="shared" si="4"/>
        <v>0.40213791026799162</v>
      </c>
      <c r="O15"/>
      <c r="P15" s="10">
        <v>3371</v>
      </c>
      <c r="Q15" s="10">
        <v>5942</v>
      </c>
      <c r="R15" s="106">
        <f t="shared" si="1"/>
        <v>9313</v>
      </c>
    </row>
    <row r="16" spans="1:18" x14ac:dyDescent="0.3">
      <c r="A16" s="107">
        <v>42370</v>
      </c>
      <c r="B16" s="108">
        <v>3725</v>
      </c>
      <c r="C16" s="10"/>
      <c r="D16" s="10"/>
      <c r="E16" s="108">
        <v>6447</v>
      </c>
      <c r="F16" s="10"/>
      <c r="G16" s="10"/>
      <c r="H16" s="10">
        <f t="shared" si="0"/>
        <v>10172</v>
      </c>
      <c r="I16" s="10"/>
      <c r="J16" s="10"/>
      <c r="K16"/>
      <c r="L16" s="45">
        <f t="shared" si="2"/>
        <v>0.40354182366239644</v>
      </c>
      <c r="M16" s="45">
        <f t="shared" si="3"/>
        <v>0.42066989863375936</v>
      </c>
      <c r="N16" s="45">
        <f t="shared" si="4"/>
        <v>0.41434927697441593</v>
      </c>
      <c r="O16"/>
      <c r="P16" s="10">
        <v>3725</v>
      </c>
      <c r="Q16" s="10">
        <v>6447</v>
      </c>
      <c r="R16" s="106">
        <f t="shared" si="1"/>
        <v>10172</v>
      </c>
    </row>
    <row r="17" spans="1:18" x14ac:dyDescent="0.3">
      <c r="A17" s="107">
        <v>42461</v>
      </c>
      <c r="B17" s="108">
        <v>4133</v>
      </c>
      <c r="C17" s="10"/>
      <c r="D17" s="10"/>
      <c r="E17" s="108">
        <v>6989</v>
      </c>
      <c r="F17" s="10"/>
      <c r="G17" s="10"/>
      <c r="H17" s="10">
        <f t="shared" si="0"/>
        <v>11122</v>
      </c>
      <c r="I17" s="10"/>
      <c r="J17" s="10"/>
      <c r="K17"/>
      <c r="L17" s="45">
        <f t="shared" si="2"/>
        <v>0.43010380622837374</v>
      </c>
      <c r="M17" s="45">
        <f t="shared" si="3"/>
        <v>0.39919919919919922</v>
      </c>
      <c r="N17" s="45">
        <f t="shared" si="4"/>
        <v>0.41052631578947363</v>
      </c>
      <c r="O17"/>
      <c r="P17" s="10">
        <v>4133</v>
      </c>
      <c r="Q17" s="10">
        <v>6989</v>
      </c>
      <c r="R17" s="106">
        <f t="shared" si="1"/>
        <v>11122</v>
      </c>
    </row>
    <row r="18" spans="1:18" x14ac:dyDescent="0.3">
      <c r="A18" s="107">
        <v>42552</v>
      </c>
      <c r="B18" s="108">
        <v>4520</v>
      </c>
      <c r="C18" s="10"/>
      <c r="D18" s="10"/>
      <c r="E18" s="108">
        <v>7537</v>
      </c>
      <c r="F18" s="10"/>
      <c r="G18" s="10"/>
      <c r="H18" s="10">
        <f t="shared" si="0"/>
        <v>12057</v>
      </c>
      <c r="I18" s="10"/>
      <c r="J18" s="10"/>
      <c r="K18"/>
      <c r="L18" s="45">
        <f t="shared" si="2"/>
        <v>0.46373056994818662</v>
      </c>
      <c r="M18" s="45">
        <f t="shared" si="3"/>
        <v>0.3624367317425885</v>
      </c>
      <c r="N18" s="45">
        <f t="shared" si="4"/>
        <v>0.39872389791183305</v>
      </c>
      <c r="O18"/>
      <c r="P18" s="10">
        <v>4520</v>
      </c>
      <c r="Q18" s="10">
        <v>7537</v>
      </c>
      <c r="R18" s="106">
        <f t="shared" si="1"/>
        <v>12057</v>
      </c>
    </row>
    <row r="19" spans="1:18" x14ac:dyDescent="0.3">
      <c r="A19" s="107">
        <v>42644</v>
      </c>
      <c r="B19" s="108">
        <v>4972</v>
      </c>
      <c r="C19" s="10"/>
      <c r="D19" s="10"/>
      <c r="E19" s="108">
        <v>8197</v>
      </c>
      <c r="F19" s="10"/>
      <c r="G19" s="10"/>
      <c r="H19" s="10">
        <f t="shared" si="0"/>
        <v>13169</v>
      </c>
      <c r="I19" s="10"/>
      <c r="J19" s="10"/>
      <c r="K19"/>
      <c r="L19" s="45">
        <f t="shared" si="2"/>
        <v>0.4749332542272322</v>
      </c>
      <c r="M19" s="45">
        <f t="shared" si="3"/>
        <v>0.37950185122854263</v>
      </c>
      <c r="N19" s="45">
        <f t="shared" si="4"/>
        <v>0.41404488349618807</v>
      </c>
      <c r="O19"/>
      <c r="P19" s="10">
        <v>4972</v>
      </c>
      <c r="Q19" s="10">
        <v>8197</v>
      </c>
      <c r="R19" s="106">
        <f t="shared" si="1"/>
        <v>13169</v>
      </c>
    </row>
    <row r="20" spans="1:18" x14ac:dyDescent="0.3">
      <c r="A20" s="107">
        <v>42736</v>
      </c>
      <c r="B20" s="108">
        <v>5442</v>
      </c>
      <c r="C20" s="10"/>
      <c r="D20" s="10"/>
      <c r="E20" s="108">
        <v>8877</v>
      </c>
      <c r="F20" s="10"/>
      <c r="G20" s="10"/>
      <c r="H20" s="10">
        <f t="shared" si="0"/>
        <v>14319</v>
      </c>
      <c r="I20" s="10"/>
      <c r="J20" s="10"/>
      <c r="K20"/>
      <c r="L20" s="45">
        <f t="shared" si="2"/>
        <v>0.46093959731543621</v>
      </c>
      <c r="M20" s="45">
        <f t="shared" si="3"/>
        <v>0.37691949744066999</v>
      </c>
      <c r="N20" s="45">
        <f t="shared" si="4"/>
        <v>0.40768777034998038</v>
      </c>
      <c r="O20"/>
      <c r="P20" s="10">
        <v>5442</v>
      </c>
      <c r="Q20" s="10">
        <v>8877</v>
      </c>
      <c r="R20" s="106">
        <f t="shared" si="1"/>
        <v>14319</v>
      </c>
    </row>
    <row r="21" spans="1:18" x14ac:dyDescent="0.3">
      <c r="A21" s="107">
        <v>42826</v>
      </c>
      <c r="B21" s="108">
        <v>5930</v>
      </c>
      <c r="C21" s="10"/>
      <c r="D21" s="10"/>
      <c r="E21" s="108">
        <v>9488</v>
      </c>
      <c r="F21" s="10"/>
      <c r="G21" s="10"/>
      <c r="H21" s="10">
        <f t="shared" si="0"/>
        <v>15418</v>
      </c>
      <c r="I21" s="10"/>
      <c r="J21" s="10"/>
      <c r="K21"/>
      <c r="L21" s="45">
        <f t="shared" si="2"/>
        <v>0.43479312847810303</v>
      </c>
      <c r="M21" s="45">
        <f t="shared" si="3"/>
        <v>0.35756188295893554</v>
      </c>
      <c r="N21" s="45">
        <f t="shared" si="4"/>
        <v>0.38626146376550974</v>
      </c>
      <c r="O21"/>
      <c r="P21" s="10">
        <v>5930</v>
      </c>
      <c r="Q21" s="10">
        <v>9488</v>
      </c>
      <c r="R21" s="106">
        <f t="shared" si="1"/>
        <v>15418</v>
      </c>
    </row>
    <row r="22" spans="1:18" x14ac:dyDescent="0.3">
      <c r="A22" s="107">
        <v>42917</v>
      </c>
      <c r="B22" s="108">
        <v>6383</v>
      </c>
      <c r="C22" s="10"/>
      <c r="D22" s="10"/>
      <c r="E22" s="108">
        <v>9942</v>
      </c>
      <c r="F22" s="10"/>
      <c r="G22" s="10"/>
      <c r="H22" s="10">
        <f t="shared" si="0"/>
        <v>16325</v>
      </c>
      <c r="I22" s="10"/>
      <c r="J22" s="10"/>
      <c r="K22"/>
      <c r="L22" s="45">
        <f t="shared" si="2"/>
        <v>0.41216814159292037</v>
      </c>
      <c r="M22" s="45">
        <f t="shared" si="3"/>
        <v>0.31909247711290956</v>
      </c>
      <c r="N22" s="45">
        <f t="shared" si="4"/>
        <v>0.35398523679190519</v>
      </c>
      <c r="O22"/>
      <c r="P22" s="10">
        <v>6383</v>
      </c>
      <c r="Q22" s="10">
        <v>9942</v>
      </c>
      <c r="R22" s="106">
        <f t="shared" si="1"/>
        <v>16325</v>
      </c>
    </row>
    <row r="23" spans="1:18" x14ac:dyDescent="0.3">
      <c r="A23" s="107">
        <v>43009</v>
      </c>
      <c r="B23" s="108">
        <v>6775</v>
      </c>
      <c r="C23" s="10"/>
      <c r="D23" s="10"/>
      <c r="E23" s="108">
        <v>10538</v>
      </c>
      <c r="F23" s="10"/>
      <c r="G23" s="10"/>
      <c r="H23" s="10">
        <f t="shared" si="0"/>
        <v>17313</v>
      </c>
      <c r="I23" s="10"/>
      <c r="J23" s="10"/>
      <c r="K23"/>
      <c r="L23" s="45">
        <f t="shared" si="2"/>
        <v>0.3626307320997586</v>
      </c>
      <c r="M23" s="45">
        <f t="shared" si="3"/>
        <v>0.28559228986214458</v>
      </c>
      <c r="N23" s="45">
        <f t="shared" si="4"/>
        <v>0.31467841142076081</v>
      </c>
      <c r="O23"/>
      <c r="P23" s="10">
        <v>6775</v>
      </c>
      <c r="Q23" s="10">
        <v>10538</v>
      </c>
      <c r="R23" s="106">
        <f t="shared" si="1"/>
        <v>17313</v>
      </c>
    </row>
    <row r="24" spans="1:18" x14ac:dyDescent="0.3">
      <c r="A24" s="107">
        <v>43101</v>
      </c>
      <c r="B24" s="108">
        <v>7376</v>
      </c>
      <c r="C24" s="10"/>
      <c r="D24" s="10"/>
      <c r="E24" s="108">
        <v>11085</v>
      </c>
      <c r="F24" s="10"/>
      <c r="G24" s="10"/>
      <c r="H24" s="10">
        <f t="shared" si="0"/>
        <v>18461</v>
      </c>
      <c r="I24" s="10"/>
      <c r="J24" s="10"/>
      <c r="K24"/>
      <c r="L24" s="45">
        <f t="shared" si="2"/>
        <v>0.35538404998162432</v>
      </c>
      <c r="M24" s="45">
        <f t="shared" si="3"/>
        <v>0.24873267995944581</v>
      </c>
      <c r="N24" s="45">
        <f t="shared" si="4"/>
        <v>0.28926601019624276</v>
      </c>
      <c r="O24"/>
      <c r="P24" s="10">
        <v>7376</v>
      </c>
      <c r="Q24" s="10">
        <v>11085</v>
      </c>
      <c r="R24" s="106">
        <f t="shared" si="1"/>
        <v>18461</v>
      </c>
    </row>
    <row r="25" spans="1:18" x14ac:dyDescent="0.3">
      <c r="A25" s="107">
        <v>43191</v>
      </c>
      <c r="B25" s="108">
        <v>7958</v>
      </c>
      <c r="C25" s="10"/>
      <c r="D25" s="10"/>
      <c r="E25" s="108">
        <v>11680</v>
      </c>
      <c r="F25" s="10"/>
      <c r="G25" s="10"/>
      <c r="H25" s="10">
        <f t="shared" si="0"/>
        <v>19638</v>
      </c>
      <c r="I25" s="10"/>
      <c r="J25" s="10"/>
      <c r="K25"/>
      <c r="L25" s="45">
        <f t="shared" si="2"/>
        <v>0.3419898819561551</v>
      </c>
      <c r="M25" s="45">
        <f t="shared" si="3"/>
        <v>0.2310286677908937</v>
      </c>
      <c r="N25" s="45">
        <f t="shared" si="4"/>
        <v>0.2737060578544559</v>
      </c>
      <c r="O25"/>
      <c r="P25" s="10">
        <v>7958</v>
      </c>
      <c r="Q25" s="10">
        <v>11680</v>
      </c>
      <c r="R25" s="106">
        <f t="shared" si="1"/>
        <v>19638</v>
      </c>
    </row>
    <row r="26" spans="1:18" x14ac:dyDescent="0.3">
      <c r="A26" s="107">
        <v>43282</v>
      </c>
      <c r="B26" s="108">
        <v>8591</v>
      </c>
      <c r="C26" s="10"/>
      <c r="D26" s="10"/>
      <c r="E26" s="108">
        <v>12276</v>
      </c>
      <c r="F26" s="10"/>
      <c r="G26" s="10"/>
      <c r="H26" s="10">
        <f t="shared" si="0"/>
        <v>20867</v>
      </c>
      <c r="I26" s="10"/>
      <c r="J26" s="10"/>
      <c r="K26"/>
      <c r="L26" s="45">
        <f t="shared" si="2"/>
        <v>0.34591884693717678</v>
      </c>
      <c r="M26" s="45">
        <f t="shared" si="3"/>
        <v>0.2347616173808087</v>
      </c>
      <c r="N26" s="45">
        <f t="shared" si="4"/>
        <v>0.27822358346094944</v>
      </c>
      <c r="O26"/>
      <c r="P26" s="10">
        <v>8591</v>
      </c>
      <c r="Q26" s="10">
        <v>12276</v>
      </c>
      <c r="R26" s="106">
        <f t="shared" si="1"/>
        <v>20867</v>
      </c>
    </row>
    <row r="27" spans="1:18" x14ac:dyDescent="0.3">
      <c r="A27" s="107">
        <v>43374</v>
      </c>
      <c r="B27" s="108">
        <v>9246</v>
      </c>
      <c r="C27" s="10"/>
      <c r="D27" s="10"/>
      <c r="E27" s="108">
        <v>13601</v>
      </c>
      <c r="F27" s="10"/>
      <c r="G27" s="10"/>
      <c r="H27" s="10">
        <f t="shared" si="0"/>
        <v>22847</v>
      </c>
      <c r="I27" s="10"/>
      <c r="J27" s="10"/>
      <c r="K27"/>
      <c r="L27" s="45">
        <f t="shared" si="2"/>
        <v>0.3647232472324724</v>
      </c>
      <c r="M27" s="45">
        <f t="shared" si="3"/>
        <v>0.29066236477509966</v>
      </c>
      <c r="N27" s="45">
        <f t="shared" si="4"/>
        <v>0.31964419800150168</v>
      </c>
      <c r="O27"/>
      <c r="P27" s="10">
        <v>9246</v>
      </c>
      <c r="Q27" s="10">
        <v>13601</v>
      </c>
      <c r="R27" s="106">
        <f t="shared" si="1"/>
        <v>22847</v>
      </c>
    </row>
    <row r="28" spans="1:18" x14ac:dyDescent="0.3">
      <c r="A28" s="107">
        <v>43466</v>
      </c>
      <c r="B28" s="108">
        <v>9728</v>
      </c>
      <c r="C28" s="10"/>
      <c r="D28" s="10"/>
      <c r="E28" s="108">
        <v>15019</v>
      </c>
      <c r="F28" s="10"/>
      <c r="G28" s="10"/>
      <c r="H28" s="10">
        <f t="shared" si="0"/>
        <v>24747</v>
      </c>
      <c r="I28" s="10"/>
      <c r="J28" s="10"/>
      <c r="K28"/>
      <c r="L28" s="45">
        <f t="shared" si="2"/>
        <v>0.31887201735357928</v>
      </c>
      <c r="M28" s="45">
        <f t="shared" si="3"/>
        <v>0.35489400090211998</v>
      </c>
      <c r="N28" s="45">
        <f t="shared" si="4"/>
        <v>0.34050159796327395</v>
      </c>
      <c r="O28"/>
      <c r="P28" s="10">
        <v>9728</v>
      </c>
      <c r="Q28" s="10">
        <v>15019</v>
      </c>
      <c r="R28" s="106">
        <f t="shared" si="1"/>
        <v>24747</v>
      </c>
    </row>
    <row r="29" spans="1:18" x14ac:dyDescent="0.3">
      <c r="A29" s="107">
        <v>43556</v>
      </c>
      <c r="B29" s="108">
        <v>10320</v>
      </c>
      <c r="C29" s="10"/>
      <c r="D29" s="10"/>
      <c r="E29" s="108">
        <v>15995</v>
      </c>
      <c r="F29" s="10"/>
      <c r="G29" s="10"/>
      <c r="H29" s="10">
        <f t="shared" si="0"/>
        <v>26315</v>
      </c>
      <c r="I29" s="10"/>
      <c r="J29" s="10"/>
      <c r="K29"/>
      <c r="L29" s="45">
        <f t="shared" si="2"/>
        <v>0.29680824327720523</v>
      </c>
      <c r="M29" s="45">
        <f t="shared" si="3"/>
        <v>0.36943493150684925</v>
      </c>
      <c r="N29" s="45">
        <f t="shared" si="4"/>
        <v>0.34000407373459618</v>
      </c>
      <c r="O29"/>
      <c r="P29" s="10">
        <v>10320</v>
      </c>
      <c r="Q29" s="10">
        <v>15995</v>
      </c>
      <c r="R29" s="106">
        <f t="shared" si="1"/>
        <v>26315</v>
      </c>
    </row>
    <row r="30" spans="1:18" x14ac:dyDescent="0.3">
      <c r="A30" s="107">
        <v>43647</v>
      </c>
      <c r="B30" s="108">
        <v>10955</v>
      </c>
      <c r="C30" s="10"/>
      <c r="D30" s="10"/>
      <c r="E30" s="108">
        <v>17470</v>
      </c>
      <c r="F30" s="10"/>
      <c r="G30" s="10"/>
      <c r="H30" s="10">
        <f>SUM(B30,E30)</f>
        <v>28425</v>
      </c>
      <c r="I30" s="10"/>
      <c r="J30" s="10"/>
      <c r="L30" s="45">
        <f t="shared" si="2"/>
        <v>0.27517169130485386</v>
      </c>
      <c r="M30" s="45">
        <f t="shared" si="3"/>
        <v>0.42310198761811657</v>
      </c>
      <c r="N30" s="45">
        <f t="shared" si="4"/>
        <v>0.36219868692193424</v>
      </c>
      <c r="P30" s="10">
        <v>10955</v>
      </c>
      <c r="Q30" s="10">
        <v>17470</v>
      </c>
      <c r="R30" s="106">
        <f t="shared" si="1"/>
        <v>28425</v>
      </c>
    </row>
    <row r="31" spans="1:18" x14ac:dyDescent="0.3">
      <c r="A31" s="107">
        <v>43739</v>
      </c>
      <c r="B31" s="108">
        <v>11493</v>
      </c>
      <c r="C31" s="10"/>
      <c r="D31" s="10"/>
      <c r="E31" s="108">
        <v>18749</v>
      </c>
      <c r="F31" s="10"/>
      <c r="G31" s="10"/>
      <c r="H31" s="10">
        <f t="shared" si="0"/>
        <v>30242</v>
      </c>
      <c r="I31" s="10"/>
      <c r="J31" s="10"/>
      <c r="L31" s="45">
        <f>B31/B27-1</f>
        <v>0.24302401038286825</v>
      </c>
      <c r="M31" s="45">
        <f>E31/E27-1</f>
        <v>0.37850158076612006</v>
      </c>
      <c r="N31" s="45">
        <f>H31/H27-1</f>
        <v>0.32367488072832318</v>
      </c>
      <c r="P31" s="10">
        <v>11493</v>
      </c>
      <c r="Q31" s="10">
        <v>18749</v>
      </c>
      <c r="R31" s="106">
        <f t="shared" si="1"/>
        <v>30242</v>
      </c>
    </row>
    <row r="32" spans="1:18" x14ac:dyDescent="0.3">
      <c r="A32" s="107">
        <v>43831</v>
      </c>
      <c r="B32" s="108">
        <v>11830</v>
      </c>
      <c r="C32" s="10"/>
      <c r="D32" s="10"/>
      <c r="E32" s="108">
        <v>20160</v>
      </c>
      <c r="F32" s="10"/>
      <c r="G32" s="10"/>
      <c r="H32" s="10">
        <f t="shared" si="0"/>
        <v>31990</v>
      </c>
      <c r="I32" s="10"/>
      <c r="J32" s="10"/>
      <c r="L32" s="45">
        <f>B32/B28-1</f>
        <v>0.21607730263157898</v>
      </c>
      <c r="M32" s="45">
        <f>E32/E28-1</f>
        <v>0.34229975364538245</v>
      </c>
      <c r="N32" s="45">
        <f>H32/H28-1</f>
        <v>0.29268194124540359</v>
      </c>
      <c r="P32" s="10">
        <v>11830</v>
      </c>
      <c r="Q32" s="10">
        <v>20160</v>
      </c>
      <c r="R32" s="106">
        <f t="shared" si="1"/>
        <v>31990</v>
      </c>
    </row>
    <row r="33" spans="1:18" x14ac:dyDescent="0.3">
      <c r="A33" s="107">
        <v>43922</v>
      </c>
      <c r="B33" s="108">
        <v>11789</v>
      </c>
      <c r="C33" s="10"/>
      <c r="D33" s="10"/>
      <c r="E33" s="108">
        <v>20382</v>
      </c>
      <c r="F33" s="10"/>
      <c r="G33" s="10"/>
      <c r="H33" s="10">
        <f t="shared" si="0"/>
        <v>32171</v>
      </c>
      <c r="I33" s="10"/>
      <c r="J33" s="10"/>
      <c r="L33" s="45">
        <f>B33/B29-1</f>
        <v>0.14234496124031004</v>
      </c>
      <c r="M33" s="45">
        <f>E33/E29-1</f>
        <v>0.27427321037824326</v>
      </c>
      <c r="N33" s="45">
        <f>H33/H29-1</f>
        <v>0.2225346760402811</v>
      </c>
      <c r="P33" s="10">
        <v>11789</v>
      </c>
      <c r="Q33" s="10">
        <v>20382</v>
      </c>
      <c r="R33" s="106">
        <f t="shared" si="1"/>
        <v>32171</v>
      </c>
    </row>
    <row r="34" spans="1:18" x14ac:dyDescent="0.3">
      <c r="A34" s="107">
        <v>44013</v>
      </c>
      <c r="B34" s="108">
        <v>12028</v>
      </c>
      <c r="C34" s="10"/>
      <c r="D34" s="10"/>
      <c r="E34" s="108">
        <v>21219</v>
      </c>
      <c r="F34" s="10"/>
      <c r="G34" s="10"/>
      <c r="H34" s="10">
        <f t="shared" si="0"/>
        <v>33247</v>
      </c>
      <c r="I34" s="10"/>
      <c r="J34" s="10"/>
      <c r="L34" s="45">
        <f t="shared" ref="L34:L43" si="5">B34/B30-1</f>
        <v>9.7946143313555556E-2</v>
      </c>
      <c r="M34" s="45">
        <f t="shared" ref="M34:M43" si="6">E34/E30-1</f>
        <v>0.21459645105895819</v>
      </c>
      <c r="N34" s="45">
        <f t="shared" ref="N34:N43" si="7">H34/H30-1</f>
        <v>0.16963940193491656</v>
      </c>
      <c r="P34" s="10">
        <v>12028</v>
      </c>
      <c r="Q34" s="10">
        <v>21219</v>
      </c>
      <c r="R34" s="106">
        <f t="shared" si="1"/>
        <v>33247</v>
      </c>
    </row>
    <row r="35" spans="1:18" x14ac:dyDescent="0.3">
      <c r="A35" s="107">
        <v>44105</v>
      </c>
      <c r="B35" s="108">
        <v>12435</v>
      </c>
      <c r="C35" s="10"/>
      <c r="D35" s="10"/>
      <c r="E35" s="108">
        <v>22730</v>
      </c>
      <c r="F35" s="10"/>
      <c r="G35" s="10"/>
      <c r="H35" s="10">
        <f t="shared" si="0"/>
        <v>35165</v>
      </c>
      <c r="I35" s="10"/>
      <c r="J35" s="10"/>
      <c r="L35" s="45">
        <f t="shared" si="5"/>
        <v>8.1962933959801587E-2</v>
      </c>
      <c r="M35" s="45">
        <f t="shared" si="6"/>
        <v>0.21233132433729796</v>
      </c>
      <c r="N35" s="45">
        <f t="shared" si="7"/>
        <v>0.16278685272138094</v>
      </c>
      <c r="P35" s="10">
        <v>12435</v>
      </c>
      <c r="Q35" s="10">
        <v>22730</v>
      </c>
      <c r="R35" s="106">
        <f t="shared" si="1"/>
        <v>35165</v>
      </c>
    </row>
    <row r="36" spans="1:18" x14ac:dyDescent="0.3">
      <c r="A36" s="107">
        <v>44197</v>
      </c>
      <c r="B36" s="108">
        <v>12970</v>
      </c>
      <c r="C36" s="10"/>
      <c r="D36" s="10"/>
      <c r="E36" s="108">
        <v>24305</v>
      </c>
      <c r="F36" s="10"/>
      <c r="G36" s="10"/>
      <c r="H36" s="10">
        <f t="shared" si="0"/>
        <v>37275</v>
      </c>
      <c r="I36" s="10"/>
      <c r="J36" s="10"/>
      <c r="L36" s="45">
        <f t="shared" si="5"/>
        <v>9.6365173288250228E-2</v>
      </c>
      <c r="M36" s="45">
        <f t="shared" si="6"/>
        <v>0.20560515873015883</v>
      </c>
      <c r="N36" s="45">
        <f t="shared" si="7"/>
        <v>0.16520787746170673</v>
      </c>
      <c r="P36" s="10">
        <v>12970</v>
      </c>
      <c r="Q36" s="10">
        <v>24305</v>
      </c>
      <c r="R36" s="106">
        <f t="shared" si="1"/>
        <v>37275</v>
      </c>
    </row>
    <row r="37" spans="1:18" x14ac:dyDescent="0.3">
      <c r="A37" s="107">
        <v>44287</v>
      </c>
      <c r="B37" s="108">
        <v>13864</v>
      </c>
      <c r="C37" s="10"/>
      <c r="D37" s="10"/>
      <c r="E37" s="108">
        <v>25776</v>
      </c>
      <c r="F37" s="10"/>
      <c r="G37" s="10"/>
      <c r="H37" s="10">
        <f t="shared" si="0"/>
        <v>39640</v>
      </c>
      <c r="I37" s="10"/>
      <c r="J37" s="10"/>
      <c r="L37" s="45">
        <f t="shared" si="5"/>
        <v>0.17601153617779275</v>
      </c>
      <c r="M37" s="45">
        <f t="shared" si="6"/>
        <v>0.26464527524286141</v>
      </c>
      <c r="N37" s="45">
        <f t="shared" si="7"/>
        <v>0.23216561499487121</v>
      </c>
      <c r="P37" s="10">
        <v>13864</v>
      </c>
      <c r="Q37" s="10">
        <v>25776</v>
      </c>
      <c r="R37" s="106">
        <f t="shared" si="1"/>
        <v>39640</v>
      </c>
    </row>
    <row r="38" spans="1:18" x14ac:dyDescent="0.3">
      <c r="A38" s="107">
        <v>44378</v>
      </c>
      <c r="B38" s="108">
        <v>15070</v>
      </c>
      <c r="C38" s="10"/>
      <c r="D38" s="10"/>
      <c r="E38" s="108">
        <v>27926</v>
      </c>
      <c r="F38" s="10"/>
      <c r="G38" s="10"/>
      <c r="H38" s="10">
        <f t="shared" si="0"/>
        <v>42996</v>
      </c>
      <c r="I38" s="10"/>
      <c r="J38" s="10"/>
      <c r="L38" s="45">
        <f t="shared" si="5"/>
        <v>0.25290987695377454</v>
      </c>
      <c r="M38" s="45">
        <f t="shared" si="6"/>
        <v>0.31608464112352141</v>
      </c>
      <c r="N38" s="45">
        <f t="shared" si="7"/>
        <v>0.29322946431256947</v>
      </c>
      <c r="P38" s="10">
        <v>15070</v>
      </c>
      <c r="Q38" s="10">
        <v>27926</v>
      </c>
      <c r="R38" s="106">
        <f t="shared" si="1"/>
        <v>42996</v>
      </c>
    </row>
    <row r="39" spans="1:18" x14ac:dyDescent="0.3">
      <c r="A39" s="107">
        <v>44470</v>
      </c>
      <c r="B39" s="108">
        <v>16469</v>
      </c>
      <c r="C39" s="10"/>
      <c r="D39" s="10"/>
      <c r="E39" s="108">
        <v>30238</v>
      </c>
      <c r="F39" s="10"/>
      <c r="G39" s="10"/>
      <c r="H39" s="10">
        <f t="shared" si="0"/>
        <v>46707</v>
      </c>
      <c r="I39" s="10"/>
      <c r="J39" s="10"/>
      <c r="L39" s="45">
        <f t="shared" si="5"/>
        <v>0.32440691596300764</v>
      </c>
      <c r="M39" s="45">
        <f t="shared" si="6"/>
        <v>0.33031236251649809</v>
      </c>
      <c r="N39" s="45">
        <f t="shared" si="7"/>
        <v>0.32822408644959467</v>
      </c>
      <c r="P39" s="10">
        <v>16469</v>
      </c>
      <c r="Q39" s="10">
        <v>30237</v>
      </c>
      <c r="R39" s="106">
        <f t="shared" si="1"/>
        <v>46706</v>
      </c>
    </row>
    <row r="40" spans="1:18" x14ac:dyDescent="0.3">
      <c r="A40" s="107">
        <v>44562</v>
      </c>
      <c r="B40" s="108">
        <v>17374</v>
      </c>
      <c r="C40" s="10"/>
      <c r="D40" s="10"/>
      <c r="E40" s="108">
        <v>32340</v>
      </c>
      <c r="F40" s="10"/>
      <c r="G40" s="10"/>
      <c r="H40" s="77">
        <f t="shared" ref="H40:J43" si="8">SUM(B40,E40)</f>
        <v>49714</v>
      </c>
      <c r="I40" s="10"/>
      <c r="J40" s="10"/>
      <c r="L40" s="45">
        <f t="shared" si="5"/>
        <v>0.33955281418658445</v>
      </c>
      <c r="M40" s="45">
        <f t="shared" si="6"/>
        <v>0.3305904134951656</v>
      </c>
      <c r="N40" s="45">
        <f t="shared" si="7"/>
        <v>0.33370892018779341</v>
      </c>
      <c r="P40" s="82">
        <v>17374</v>
      </c>
      <c r="Q40" s="82">
        <v>32339</v>
      </c>
      <c r="R40" s="106">
        <f t="shared" si="1"/>
        <v>49713</v>
      </c>
    </row>
    <row r="41" spans="1:18" x14ac:dyDescent="0.3">
      <c r="A41" s="107">
        <v>44652</v>
      </c>
      <c r="B41" s="108">
        <v>18554</v>
      </c>
      <c r="C41" s="10">
        <f>B41</f>
        <v>18554</v>
      </c>
      <c r="D41" s="10">
        <f>B41</f>
        <v>18554</v>
      </c>
      <c r="E41" s="108">
        <v>34557</v>
      </c>
      <c r="F41" s="10">
        <f>E41</f>
        <v>34557</v>
      </c>
      <c r="G41" s="10">
        <f>E41</f>
        <v>34557</v>
      </c>
      <c r="H41" s="77">
        <f t="shared" si="8"/>
        <v>53111</v>
      </c>
      <c r="I41" s="77">
        <f t="shared" si="8"/>
        <v>53111</v>
      </c>
      <c r="J41" s="77">
        <f t="shared" si="8"/>
        <v>53111</v>
      </c>
      <c r="L41" s="45">
        <f t="shared" si="5"/>
        <v>0.33828620888632432</v>
      </c>
      <c r="M41" s="45">
        <f t="shared" si="6"/>
        <v>0.34066573556797031</v>
      </c>
      <c r="N41" s="45">
        <f t="shared" si="7"/>
        <v>0.33983350151362268</v>
      </c>
      <c r="P41" s="82">
        <v>18553</v>
      </c>
      <c r="Q41" s="82">
        <v>34554</v>
      </c>
      <c r="R41" s="106">
        <f t="shared" si="1"/>
        <v>53107</v>
      </c>
    </row>
    <row r="42" spans="1:18" x14ac:dyDescent="0.3">
      <c r="A42" s="107">
        <v>44743</v>
      </c>
      <c r="B42" s="108">
        <v>19630</v>
      </c>
      <c r="C42" s="77">
        <f t="shared" ref="C42:C51" si="9">C41*((B42/B41)+(B$1/4))</f>
        <v>19815.54</v>
      </c>
      <c r="D42" s="77">
        <f t="shared" ref="D42:D51" si="10">D41*((B42/B41)-(B$1/4))</f>
        <v>19444.46</v>
      </c>
      <c r="E42" s="108">
        <v>38129</v>
      </c>
      <c r="F42" s="77">
        <f t="shared" ref="F42:F51" si="11">F41*((E42/E41)+(E$1/4))</f>
        <v>38647.354999999996</v>
      </c>
      <c r="G42" s="77">
        <f t="shared" ref="G42:G51" si="12">G41*((E42/E41)-(E$1/4))</f>
        <v>37610.644999999997</v>
      </c>
      <c r="H42" s="77">
        <f t="shared" si="8"/>
        <v>57759</v>
      </c>
      <c r="I42" s="77">
        <f t="shared" si="8"/>
        <v>58462.894999999997</v>
      </c>
      <c r="J42" s="77">
        <f t="shared" si="8"/>
        <v>57055.104999999996</v>
      </c>
      <c r="L42" s="45">
        <f t="shared" si="5"/>
        <v>0.30258792302587922</v>
      </c>
      <c r="M42" s="45">
        <f t="shared" si="6"/>
        <v>0.3653584473250735</v>
      </c>
      <c r="N42" s="45">
        <f t="shared" si="7"/>
        <v>0.34335752162991917</v>
      </c>
      <c r="P42" s="82">
        <v>19629</v>
      </c>
      <c r="Q42" s="82">
        <v>38126</v>
      </c>
      <c r="R42" s="106">
        <f t="shared" si="1"/>
        <v>57755</v>
      </c>
    </row>
    <row r="43" spans="1:18" x14ac:dyDescent="0.3">
      <c r="A43" s="107">
        <v>44835</v>
      </c>
      <c r="B43" s="108">
        <v>20717</v>
      </c>
      <c r="C43" s="77">
        <f t="shared" si="9"/>
        <v>21110.969571166585</v>
      </c>
      <c r="D43" s="77">
        <f t="shared" si="10"/>
        <v>20326.741228833416</v>
      </c>
      <c r="E43" s="108">
        <v>41859</v>
      </c>
      <c r="F43" s="77">
        <f t="shared" si="11"/>
        <v>43007.773818535097</v>
      </c>
      <c r="G43" s="77">
        <f t="shared" si="12"/>
        <v>40725.776831464893</v>
      </c>
      <c r="H43" s="77">
        <f t="shared" si="8"/>
        <v>62576</v>
      </c>
      <c r="I43" s="77">
        <f t="shared" si="8"/>
        <v>64118.743389701682</v>
      </c>
      <c r="J43" s="77">
        <f t="shared" si="8"/>
        <v>61052.518060298309</v>
      </c>
      <c r="L43" s="45">
        <f t="shared" si="5"/>
        <v>0.25793915841884751</v>
      </c>
      <c r="M43" s="45">
        <f t="shared" si="6"/>
        <v>0.3843177458826641</v>
      </c>
      <c r="N43" s="45">
        <f t="shared" si="7"/>
        <v>0.33975635343738619</v>
      </c>
      <c r="P43" s="82">
        <v>20713</v>
      </c>
      <c r="Q43" s="82">
        <v>41854</v>
      </c>
      <c r="R43" s="106">
        <f t="shared" si="1"/>
        <v>62567</v>
      </c>
    </row>
    <row r="44" spans="1:18" x14ac:dyDescent="0.3">
      <c r="A44" s="107">
        <v>44927</v>
      </c>
      <c r="B44" s="108">
        <v>21848</v>
      </c>
      <c r="C44" s="10">
        <f t="shared" si="9"/>
        <v>22474.587187184734</v>
      </c>
      <c r="D44" s="10">
        <f t="shared" si="10"/>
        <v>21233.168479373224</v>
      </c>
      <c r="E44" s="108">
        <v>46038</v>
      </c>
      <c r="F44" s="10">
        <f>F43*((E44/E43)+(E$1/4))</f>
        <v>47946.578444821171</v>
      </c>
      <c r="G44" s="10">
        <f t="shared" si="12"/>
        <v>44180.754661629675</v>
      </c>
      <c r="H44" s="10">
        <f t="shared" ref="H44:H51" si="13">SUM(B44,E44)</f>
        <v>67886</v>
      </c>
      <c r="I44" s="10">
        <f t="shared" ref="I44:I51" si="14">SUM(C44,F44)</f>
        <v>70421.165632005897</v>
      </c>
      <c r="J44" s="10">
        <f t="shared" ref="J44:J51" si="15">SUM(D44,G44)</f>
        <v>65413.923141002902</v>
      </c>
      <c r="L44" s="45">
        <f t="shared" ref="L44:L63" si="16">B44/B40-1</f>
        <v>0.25751122366754919</v>
      </c>
      <c r="M44" s="45">
        <f t="shared" ref="M44:M63" si="17">E44/E40-1</f>
        <v>0.42356215213358062</v>
      </c>
      <c r="N44" s="45">
        <f t="shared" ref="N44:N63" si="18">H44/H40-1</f>
        <v>0.36553083638411721</v>
      </c>
      <c r="P44" s="10">
        <v>21842</v>
      </c>
      <c r="Q44" s="10">
        <v>46026</v>
      </c>
      <c r="R44" s="106">
        <f t="shared" si="1"/>
        <v>67868</v>
      </c>
    </row>
    <row r="45" spans="1:18" x14ac:dyDescent="0.3">
      <c r="A45" s="107">
        <v>45017</v>
      </c>
      <c r="B45" s="10">
        <v>22804</v>
      </c>
      <c r="C45" s="10">
        <f t="shared" si="9"/>
        <v>23682.750550403554</v>
      </c>
      <c r="D45" s="10">
        <f t="shared" si="10"/>
        <v>21949.933694354339</v>
      </c>
      <c r="E45" s="10">
        <v>49439</v>
      </c>
      <c r="F45" s="10">
        <f t="shared" si="11"/>
        <v>52207.770980714929</v>
      </c>
      <c r="G45" s="10">
        <f t="shared" si="12"/>
        <v>46781.841651888179</v>
      </c>
      <c r="H45" s="10">
        <f t="shared" si="13"/>
        <v>72243</v>
      </c>
      <c r="I45" s="10">
        <f t="shared" si="14"/>
        <v>75890.521531118487</v>
      </c>
      <c r="J45" s="10">
        <f t="shared" si="15"/>
        <v>68731.775346242517</v>
      </c>
      <c r="L45" s="45">
        <f t="shared" si="16"/>
        <v>0.22906111889619485</v>
      </c>
      <c r="M45" s="45">
        <f t="shared" si="17"/>
        <v>0.43065080880863493</v>
      </c>
      <c r="N45" s="45">
        <f t="shared" si="18"/>
        <v>0.36022669503492688</v>
      </c>
      <c r="P45" s="10">
        <v>22793</v>
      </c>
      <c r="Q45" s="10">
        <v>49421</v>
      </c>
      <c r="R45" s="106">
        <f t="shared" si="1"/>
        <v>72214</v>
      </c>
    </row>
    <row r="46" spans="1:18" x14ac:dyDescent="0.3">
      <c r="A46" s="107">
        <v>45108</v>
      </c>
      <c r="B46" s="10">
        <v>24430</v>
      </c>
      <c r="C46" s="10">
        <f t="shared" si="9"/>
        <v>25608.23585256415</v>
      </c>
      <c r="D46" s="10">
        <f t="shared" si="10"/>
        <v>23295.536628372913</v>
      </c>
      <c r="E46" s="10">
        <v>54680</v>
      </c>
      <c r="F46" s="10">
        <f t="shared" si="11"/>
        <v>58525.403367143866</v>
      </c>
      <c r="G46" s="10">
        <f t="shared" si="12"/>
        <v>51039.430196481124</v>
      </c>
      <c r="H46" s="81">
        <f t="shared" si="13"/>
        <v>79110</v>
      </c>
      <c r="I46" s="10">
        <f t="shared" si="14"/>
        <v>84133.639219708013</v>
      </c>
      <c r="J46" s="10">
        <f t="shared" si="15"/>
        <v>74334.96682485404</v>
      </c>
      <c r="L46" s="45">
        <f t="shared" si="16"/>
        <v>0.24452368823229742</v>
      </c>
      <c r="M46" s="45">
        <f t="shared" si="17"/>
        <v>0.43407904744420267</v>
      </c>
      <c r="N46" s="45">
        <f t="shared" si="18"/>
        <v>0.36965667688152504</v>
      </c>
      <c r="P46" s="10">
        <v>24416</v>
      </c>
      <c r="Q46" s="10">
        <v>54648</v>
      </c>
      <c r="R46" s="106">
        <f t="shared" si="1"/>
        <v>79064</v>
      </c>
    </row>
    <row r="47" spans="1:18" x14ac:dyDescent="0.3">
      <c r="A47" s="107">
        <v>45200</v>
      </c>
      <c r="B47" s="10">
        <v>25936</v>
      </c>
      <c r="C47" s="10">
        <f t="shared" si="9"/>
        <v>27442.951170318676</v>
      </c>
      <c r="D47" s="10">
        <f t="shared" si="10"/>
        <v>24498.646680113317</v>
      </c>
      <c r="E47" s="10">
        <v>59062</v>
      </c>
      <c r="F47" s="10">
        <f t="shared" si="11"/>
        <v>64093.451161521254</v>
      </c>
      <c r="G47" s="10">
        <f t="shared" si="12"/>
        <v>54364.087154671084</v>
      </c>
      <c r="H47" s="10">
        <f t="shared" si="13"/>
        <v>84998</v>
      </c>
      <c r="I47" s="10">
        <f t="shared" si="14"/>
        <v>91536.402331839927</v>
      </c>
      <c r="J47" s="10">
        <f t="shared" si="15"/>
        <v>78862.733834784405</v>
      </c>
      <c r="L47" s="45">
        <f t="shared" si="16"/>
        <v>0.25191871409953182</v>
      </c>
      <c r="M47" s="45">
        <f t="shared" si="17"/>
        <v>0.41097493967844434</v>
      </c>
      <c r="N47" s="45">
        <f t="shared" si="18"/>
        <v>0.35831628739452825</v>
      </c>
      <c r="P47" s="10">
        <v>25912</v>
      </c>
      <c r="Q47" s="10">
        <v>59008</v>
      </c>
      <c r="R47" s="106">
        <f t="shared" si="1"/>
        <v>84920</v>
      </c>
    </row>
    <row r="48" spans="1:18" x14ac:dyDescent="0.3">
      <c r="A48" s="107">
        <v>45292</v>
      </c>
      <c r="B48" s="10">
        <v>27992</v>
      </c>
      <c r="C48" s="10">
        <f t="shared" si="9"/>
        <v>29892.839797003944</v>
      </c>
      <c r="D48" s="10">
        <f t="shared" si="10"/>
        <v>26195.718262907845</v>
      </c>
      <c r="E48" s="10">
        <v>63563</v>
      </c>
      <c r="F48" s="10">
        <f t="shared" si="11"/>
        <v>69939.290023488895</v>
      </c>
      <c r="G48" s="10">
        <f t="shared" si="12"/>
        <v>57691.607058335656</v>
      </c>
      <c r="H48" s="10">
        <f t="shared" si="13"/>
        <v>91555</v>
      </c>
      <c r="I48" s="10">
        <f t="shared" si="14"/>
        <v>99832.129820492846</v>
      </c>
      <c r="J48" s="10">
        <f t="shared" si="15"/>
        <v>83887.325321243494</v>
      </c>
      <c r="L48" s="45">
        <f t="shared" si="16"/>
        <v>0.28121567191504937</v>
      </c>
      <c r="M48" s="45">
        <f t="shared" si="17"/>
        <v>0.38066379947000306</v>
      </c>
      <c r="N48" s="45">
        <f t="shared" si="18"/>
        <v>0.34865804436850012</v>
      </c>
      <c r="P48" s="10">
        <v>27949</v>
      </c>
      <c r="Q48" s="10">
        <v>63449</v>
      </c>
      <c r="R48" s="106">
        <f t="shared" si="1"/>
        <v>91398</v>
      </c>
    </row>
    <row r="49" spans="1:18" x14ac:dyDescent="0.3">
      <c r="A49" s="107">
        <v>45383</v>
      </c>
      <c r="B49" s="10">
        <v>29755</v>
      </c>
      <c r="C49" s="10">
        <f t="shared" si="9"/>
        <v>32074.487420542642</v>
      </c>
      <c r="D49" s="10">
        <f t="shared" si="10"/>
        <v>27583.627159783857</v>
      </c>
      <c r="E49" s="10">
        <v>68524</v>
      </c>
      <c r="F49" s="10">
        <f t="shared" si="11"/>
        <v>76447.039566194129</v>
      </c>
      <c r="G49" s="10">
        <f t="shared" si="12"/>
        <v>61328.979245373215</v>
      </c>
      <c r="H49" s="10">
        <f t="shared" si="13"/>
        <v>98279</v>
      </c>
      <c r="I49" s="10">
        <f t="shared" si="14"/>
        <v>108521.52698673678</v>
      </c>
      <c r="J49" s="10">
        <f t="shared" si="15"/>
        <v>88912.606405157072</v>
      </c>
      <c r="L49" s="45">
        <f t="shared" si="16"/>
        <v>0.30481494474653559</v>
      </c>
      <c r="M49" s="45">
        <f t="shared" si="17"/>
        <v>0.38603127085903832</v>
      </c>
      <c r="N49" s="45">
        <f t="shared" si="18"/>
        <v>0.36039477873288761</v>
      </c>
      <c r="P49" s="10">
        <v>29701</v>
      </c>
      <c r="Q49" s="10">
        <v>69064</v>
      </c>
      <c r="R49" s="106">
        <f t="shared" si="1"/>
        <v>98765</v>
      </c>
    </row>
    <row r="50" spans="1:18" x14ac:dyDescent="0.3">
      <c r="A50" s="107">
        <v>45474</v>
      </c>
      <c r="B50" s="10">
        <v>31156</v>
      </c>
      <c r="C50" s="10">
        <f t="shared" si="9"/>
        <v>33905.444254962495</v>
      </c>
      <c r="D50" s="10">
        <f t="shared" si="10"/>
        <v>28606.552832425885</v>
      </c>
      <c r="E50" s="10">
        <v>73484</v>
      </c>
      <c r="F50" s="10">
        <f t="shared" si="11"/>
        <v>83127.241690075272</v>
      </c>
      <c r="G50" s="10">
        <f t="shared" si="12"/>
        <v>64848.244502070178</v>
      </c>
      <c r="H50" s="10">
        <f t="shared" si="13"/>
        <v>104640</v>
      </c>
      <c r="I50" s="10">
        <f t="shared" si="14"/>
        <v>117032.68594503777</v>
      </c>
      <c r="J50" s="10">
        <f t="shared" si="15"/>
        <v>93454.797334496063</v>
      </c>
      <c r="L50" s="45">
        <f t="shared" si="16"/>
        <v>0.27531723291035615</v>
      </c>
      <c r="M50" s="45">
        <f t="shared" si="17"/>
        <v>0.34389173372348214</v>
      </c>
      <c r="N50" s="45">
        <f t="shared" si="18"/>
        <v>0.32271520667425113</v>
      </c>
      <c r="P50" s="10">
        <v>31488</v>
      </c>
      <c r="Q50" s="10">
        <v>74622</v>
      </c>
      <c r="R50" s="106">
        <f t="shared" si="1"/>
        <v>106110</v>
      </c>
    </row>
    <row r="51" spans="1:18" x14ac:dyDescent="0.3">
      <c r="A51" s="107">
        <v>45566</v>
      </c>
      <c r="B51" s="10">
        <v>32435</v>
      </c>
      <c r="C51" s="10">
        <f t="shared" si="9"/>
        <v>35636.367461220463</v>
      </c>
      <c r="D51" s="10">
        <f t="shared" si="10"/>
        <v>29494.828717398348</v>
      </c>
      <c r="E51" s="10">
        <v>77038</v>
      </c>
      <c r="F51" s="10">
        <f t="shared" si="11"/>
        <v>88394.538658011545</v>
      </c>
      <c r="G51" s="10">
        <f t="shared" si="12"/>
        <v>67011.858825943476</v>
      </c>
      <c r="H51" s="10">
        <f t="shared" si="13"/>
        <v>109473</v>
      </c>
      <c r="I51" s="10">
        <f t="shared" si="14"/>
        <v>124030.90611923201</v>
      </c>
      <c r="J51" s="10">
        <f t="shared" si="15"/>
        <v>96506.687543341832</v>
      </c>
      <c r="L51" s="45">
        <f t="shared" si="16"/>
        <v>0.25057834669956813</v>
      </c>
      <c r="M51" s="45">
        <f t="shared" si="17"/>
        <v>0.30435813213233542</v>
      </c>
      <c r="N51" s="45">
        <f t="shared" si="18"/>
        <v>0.28794795171651089</v>
      </c>
      <c r="P51" s="10">
        <v>33210</v>
      </c>
      <c r="Q51" s="10">
        <v>79903</v>
      </c>
      <c r="R51" s="106">
        <f t="shared" si="1"/>
        <v>113113</v>
      </c>
    </row>
    <row r="52" spans="1:18" x14ac:dyDescent="0.3">
      <c r="A52" s="107">
        <v>45658</v>
      </c>
      <c r="B52" s="10">
        <v>33878</v>
      </c>
      <c r="C52" s="10">
        <f>C51*((B52/B51)+(B$1/4))</f>
        <v>37578.156702243679</v>
      </c>
      <c r="D52" s="10">
        <f>D51*((B52/B51)-(B$1/4))</f>
        <v>30512.075214846096</v>
      </c>
      <c r="E52" s="10">
        <v>81896</v>
      </c>
      <c r="F52" s="10">
        <f>F51*((E52/E51)+(E$1/4))</f>
        <v>95294.597665743539</v>
      </c>
      <c r="G52" s="10">
        <f>G51*((E52/E51)-(E$1/4))</f>
        <v>70232.434599885411</v>
      </c>
      <c r="H52" s="10">
        <f t="shared" ref="H52:J55" si="19">SUM(B52,E52)</f>
        <v>115774</v>
      </c>
      <c r="I52" s="10">
        <f t="shared" si="19"/>
        <v>132872.75436798722</v>
      </c>
      <c r="J52" s="10">
        <f t="shared" si="19"/>
        <v>100744.50981473151</v>
      </c>
      <c r="L52" s="45">
        <f t="shared" si="16"/>
        <v>0.21027436410402967</v>
      </c>
      <c r="M52" s="45">
        <f t="shared" si="17"/>
        <v>0.28842250995075758</v>
      </c>
      <c r="N52" s="45">
        <f t="shared" si="18"/>
        <v>0.26452951777620015</v>
      </c>
      <c r="P52" s="10">
        <v>35509</v>
      </c>
      <c r="Q52" s="10">
        <v>87469</v>
      </c>
      <c r="R52" s="106">
        <f t="shared" si="1"/>
        <v>122978</v>
      </c>
    </row>
    <row r="53" spans="1:18" x14ac:dyDescent="0.3">
      <c r="A53" s="107">
        <v>45748</v>
      </c>
      <c r="B53" s="10">
        <v>35318</v>
      </c>
      <c r="C53" s="10">
        <f>C52*((B53/B52)+(B$1/4))</f>
        <v>39551.215134819897</v>
      </c>
      <c r="D53" s="10">
        <f>D52*((B53/B52)-(B$1/4))</f>
        <v>31503.884278784131</v>
      </c>
      <c r="E53" s="10">
        <v>85297</v>
      </c>
      <c r="F53" s="10">
        <f>F52*((E53/E52)+(E$1/4))</f>
        <v>100681.43734311116</v>
      </c>
      <c r="G53" s="10">
        <f>G52*((E53/E52)-(E$1/4))</f>
        <v>72095.580273841741</v>
      </c>
      <c r="H53" s="10">
        <f t="shared" si="19"/>
        <v>120615</v>
      </c>
      <c r="I53" s="10">
        <f t="shared" si="19"/>
        <v>140232.65247793106</v>
      </c>
      <c r="J53" s="10">
        <f t="shared" si="19"/>
        <v>103599.46455262587</v>
      </c>
      <c r="L53" s="45">
        <f t="shared" si="16"/>
        <v>0.1869601747605445</v>
      </c>
      <c r="M53" s="45">
        <f t="shared" si="17"/>
        <v>0.24477555309088794</v>
      </c>
      <c r="N53" s="45">
        <f t="shared" si="18"/>
        <v>0.22727133975722169</v>
      </c>
      <c r="P53" s="10">
        <v>37498</v>
      </c>
      <c r="Q53" s="10">
        <v>94382</v>
      </c>
      <c r="R53" s="106">
        <f t="shared" si="1"/>
        <v>131880</v>
      </c>
    </row>
    <row r="54" spans="1:18" x14ac:dyDescent="0.3">
      <c r="A54" s="107">
        <v>45839</v>
      </c>
      <c r="B54" s="10">
        <v>36779</v>
      </c>
      <c r="C54" s="10">
        <f>C53*((B54/B53)+(B$1/4))</f>
        <v>41582.842731889024</v>
      </c>
      <c r="D54" s="10">
        <f>D53*((B54/B53)-(B$1/4))</f>
        <v>32492.06687920665</v>
      </c>
      <c r="E54" s="10">
        <v>88877</v>
      </c>
      <c r="F54" s="10">
        <f>F53*((E54/E53)+(E$1/4))</f>
        <v>106417.35905318499</v>
      </c>
      <c r="G54" s="10">
        <f>G53*((E54/E53)-(E$1/4))</f>
        <v>74040.069842303536</v>
      </c>
      <c r="H54" s="10">
        <f t="shared" si="19"/>
        <v>125656</v>
      </c>
      <c r="I54" s="10">
        <f t="shared" si="19"/>
        <v>148000.20178507402</v>
      </c>
      <c r="J54" s="10">
        <f t="shared" si="19"/>
        <v>106532.13672151018</v>
      </c>
      <c r="L54" s="45">
        <f t="shared" si="16"/>
        <v>0.18047888047246108</v>
      </c>
      <c r="M54" s="45">
        <f t="shared" si="17"/>
        <v>0.20947417124816292</v>
      </c>
      <c r="N54" s="45">
        <f t="shared" si="18"/>
        <v>0.2008409785932721</v>
      </c>
      <c r="P54" s="10">
        <v>39566</v>
      </c>
      <c r="Q54" s="10">
        <v>101480</v>
      </c>
      <c r="R54" s="106">
        <f t="shared" si="1"/>
        <v>141046</v>
      </c>
    </row>
    <row r="55" spans="1:18" x14ac:dyDescent="0.3">
      <c r="A55" s="107">
        <v>45931</v>
      </c>
      <c r="B55" s="10">
        <v>38190</v>
      </c>
      <c r="C55" s="10">
        <f>C54*((B55/B54)+(B$1/4))</f>
        <v>43593.967145903996</v>
      </c>
      <c r="D55" s="10">
        <f>D54*((B55/B54)-(B$1/4))</f>
        <v>33413.681090823527</v>
      </c>
      <c r="E55" s="10">
        <v>92490</v>
      </c>
      <c r="F55" s="10">
        <f>F54*((E55/E54)+(E$1/4))</f>
        <v>112339.6646279423</v>
      </c>
      <c r="G55" s="10">
        <f>G54*((E55/E54)-(E$1/4))</f>
        <v>75939.322551436693</v>
      </c>
      <c r="H55" s="10">
        <f t="shared" si="19"/>
        <v>130680</v>
      </c>
      <c r="I55" s="10">
        <f t="shared" si="19"/>
        <v>155933.63177384628</v>
      </c>
      <c r="J55" s="10">
        <f t="shared" si="19"/>
        <v>109353.00364226021</v>
      </c>
      <c r="L55" s="45">
        <f t="shared" si="16"/>
        <v>0.17743178665022352</v>
      </c>
      <c r="M55" s="45">
        <f t="shared" si="17"/>
        <v>0.20057633894960936</v>
      </c>
      <c r="N55" s="45">
        <f t="shared" si="18"/>
        <v>0.19371899920528346</v>
      </c>
      <c r="P55" s="10">
        <v>41598</v>
      </c>
      <c r="Q55" s="10">
        <v>108509</v>
      </c>
      <c r="R55" s="106">
        <f t="shared" si="1"/>
        <v>150107</v>
      </c>
    </row>
    <row r="56" spans="1:18" x14ac:dyDescent="0.3">
      <c r="A56" s="107">
        <v>46023</v>
      </c>
      <c r="B56" s="10">
        <v>40319</v>
      </c>
      <c r="C56" s="10">
        <f t="shared" ref="C56:C63" si="20">C55*((B56/B55)+(B$1/4))</f>
        <v>46460.164896798218</v>
      </c>
      <c r="D56" s="10">
        <f t="shared" ref="D56:D63" si="21">D55*((B56/B55)-(B$1/4))</f>
        <v>34942.276069450862</v>
      </c>
      <c r="E56" s="10">
        <v>100294</v>
      </c>
      <c r="F56" s="10">
        <f t="shared" ref="F56:F63" si="22">F55*((E56/E55)+(E$1/4))</f>
        <v>123503.60858380821</v>
      </c>
      <c r="G56" s="10">
        <f t="shared" ref="G56:G63" si="23">G55*((E56/E55)-(E$1/4))</f>
        <v>81207.741343194473</v>
      </c>
      <c r="H56" s="10">
        <f t="shared" ref="H56:H67" si="24">SUM(B56,E56)</f>
        <v>140613</v>
      </c>
      <c r="I56" s="10">
        <f t="shared" ref="I56:I63" si="25">SUM(C56,F56)</f>
        <v>169963.77348060644</v>
      </c>
      <c r="J56" s="10">
        <f t="shared" ref="J56:J63" si="26">SUM(D56,G56)</f>
        <v>116150.01741264533</v>
      </c>
      <c r="L56" s="45">
        <f t="shared" si="16"/>
        <v>0.19012338390696026</v>
      </c>
      <c r="M56" s="45">
        <f t="shared" si="17"/>
        <v>0.22465077659470545</v>
      </c>
      <c r="N56" s="45">
        <f t="shared" si="18"/>
        <v>0.21454730768566344</v>
      </c>
      <c r="P56" s="10">
        <v>44269</v>
      </c>
      <c r="Q56" s="10">
        <v>118129</v>
      </c>
      <c r="R56" s="106">
        <f t="shared" si="1"/>
        <v>162398</v>
      </c>
    </row>
    <row r="57" spans="1:18" x14ac:dyDescent="0.3">
      <c r="A57" s="107">
        <v>46113</v>
      </c>
      <c r="B57" s="10">
        <v>42298</v>
      </c>
      <c r="C57" s="10">
        <f t="shared" si="20"/>
        <v>49205.196772973308</v>
      </c>
      <c r="D57" s="10">
        <f t="shared" si="21"/>
        <v>36307.944564527657</v>
      </c>
      <c r="E57" s="10">
        <v>107263</v>
      </c>
      <c r="F57" s="10">
        <f t="shared" si="22"/>
        <v>133937.89889040805</v>
      </c>
      <c r="G57" s="10">
        <f t="shared" si="23"/>
        <v>85632.40295073438</v>
      </c>
      <c r="H57" s="10">
        <f t="shared" si="24"/>
        <v>149561</v>
      </c>
      <c r="I57" s="10">
        <f t="shared" si="25"/>
        <v>183143.09566338136</v>
      </c>
      <c r="J57" s="10">
        <f t="shared" si="26"/>
        <v>121940.34751526204</v>
      </c>
      <c r="L57" s="45">
        <f t="shared" si="16"/>
        <v>0.19763293504728474</v>
      </c>
      <c r="M57" s="45">
        <f t="shared" si="17"/>
        <v>0.25752371126768825</v>
      </c>
      <c r="N57" s="45">
        <f t="shared" si="18"/>
        <v>0.23998673465157738</v>
      </c>
      <c r="P57" s="10">
        <v>46673</v>
      </c>
      <c r="Q57" s="10">
        <v>127015</v>
      </c>
      <c r="R57" s="106">
        <f t="shared" si="1"/>
        <v>173688</v>
      </c>
    </row>
    <row r="58" spans="1:18" x14ac:dyDescent="0.3">
      <c r="A58" s="107">
        <v>46204</v>
      </c>
      <c r="B58" s="10">
        <v>44427</v>
      </c>
      <c r="C58" s="10">
        <f t="shared" si="20"/>
        <v>52173.911087141649</v>
      </c>
      <c r="D58" s="10">
        <f t="shared" si="21"/>
        <v>37772.365567553228</v>
      </c>
      <c r="E58" s="10">
        <v>114234</v>
      </c>
      <c r="F58" s="10">
        <f t="shared" si="22"/>
        <v>144651.56348952668</v>
      </c>
      <c r="G58" s="10">
        <f t="shared" si="23"/>
        <v>89913.148915363388</v>
      </c>
      <c r="H58" s="10">
        <f t="shared" si="24"/>
        <v>158661</v>
      </c>
      <c r="I58" s="10">
        <f t="shared" si="25"/>
        <v>196825.47457666835</v>
      </c>
      <c r="J58" s="10">
        <f t="shared" si="26"/>
        <v>127685.51448291662</v>
      </c>
      <c r="L58" s="45">
        <f t="shared" si="16"/>
        <v>0.2079447510807797</v>
      </c>
      <c r="M58" s="45">
        <f t="shared" si="17"/>
        <v>0.28530440946476587</v>
      </c>
      <c r="N58" s="45">
        <f t="shared" si="18"/>
        <v>0.26266155217418996</v>
      </c>
      <c r="P58" s="10">
        <v>49197</v>
      </c>
      <c r="Q58" s="10">
        <v>135987</v>
      </c>
      <c r="R58" s="106">
        <f t="shared" si="1"/>
        <v>185184</v>
      </c>
    </row>
    <row r="59" spans="1:18" x14ac:dyDescent="0.3">
      <c r="A59" s="107">
        <v>46296</v>
      </c>
      <c r="B59" s="10">
        <v>46442</v>
      </c>
      <c r="C59" s="10">
        <f t="shared" si="20"/>
        <v>55062.013689596803</v>
      </c>
      <c r="D59" s="10">
        <f t="shared" si="21"/>
        <v>39107.81895778716</v>
      </c>
      <c r="E59" s="10">
        <v>120814</v>
      </c>
      <c r="F59" s="10">
        <f t="shared" si="22"/>
        <v>155153.42097780533</v>
      </c>
      <c r="G59" s="10">
        <f t="shared" si="23"/>
        <v>93743.544770057517</v>
      </c>
      <c r="H59" s="10">
        <f t="shared" si="24"/>
        <v>167256</v>
      </c>
      <c r="I59" s="10">
        <f t="shared" si="25"/>
        <v>210215.43466740212</v>
      </c>
      <c r="J59" s="10">
        <f t="shared" si="26"/>
        <v>132851.36372784467</v>
      </c>
      <c r="L59" s="45">
        <f t="shared" si="16"/>
        <v>0.21607750720083785</v>
      </c>
      <c r="M59" s="45">
        <f t="shared" si="17"/>
        <v>0.30623851227159693</v>
      </c>
      <c r="N59" s="45">
        <f t="shared" si="18"/>
        <v>0.27988980716253442</v>
      </c>
      <c r="P59" s="10">
        <v>51626</v>
      </c>
      <c r="Q59" s="10">
        <v>144638</v>
      </c>
      <c r="R59" s="106">
        <f t="shared" si="1"/>
        <v>196264</v>
      </c>
    </row>
    <row r="60" spans="1:18" x14ac:dyDescent="0.3">
      <c r="A60" s="107">
        <v>46388</v>
      </c>
      <c r="B60" s="10">
        <v>49043</v>
      </c>
      <c r="C60" s="10">
        <f t="shared" si="20"/>
        <v>58696.400623931331</v>
      </c>
      <c r="D60" s="10">
        <f t="shared" si="21"/>
        <v>40906.987465362821</v>
      </c>
      <c r="E60" s="10">
        <v>131061</v>
      </c>
      <c r="F60" s="10">
        <f t="shared" si="22"/>
        <v>170640.26592780912</v>
      </c>
      <c r="G60" s="10">
        <f t="shared" si="23"/>
        <v>100288.37495522674</v>
      </c>
      <c r="H60" s="10">
        <f t="shared" si="24"/>
        <v>180104</v>
      </c>
      <c r="I60" s="10">
        <f t="shared" si="25"/>
        <v>229336.66655174043</v>
      </c>
      <c r="J60" s="10">
        <f t="shared" si="26"/>
        <v>141195.36242058955</v>
      </c>
      <c r="L60" s="45">
        <f t="shared" si="16"/>
        <v>0.21637441404796753</v>
      </c>
      <c r="M60" s="45">
        <f t="shared" si="17"/>
        <v>0.30676810178076463</v>
      </c>
      <c r="N60" s="45">
        <f t="shared" si="18"/>
        <v>0.28084885465781961</v>
      </c>
      <c r="P60" s="10">
        <v>54768</v>
      </c>
      <c r="Q60" s="10">
        <v>156952</v>
      </c>
      <c r="R60" s="106">
        <f t="shared" si="1"/>
        <v>211720</v>
      </c>
    </row>
    <row r="61" spans="1:18" x14ac:dyDescent="0.3">
      <c r="A61" s="107">
        <v>46478</v>
      </c>
      <c r="B61" s="10">
        <v>51460</v>
      </c>
      <c r="C61" s="10">
        <f t="shared" si="20"/>
        <v>62176.115895550858</v>
      </c>
      <c r="D61" s="10">
        <f t="shared" si="21"/>
        <v>42513.948190464136</v>
      </c>
      <c r="E61" s="10">
        <v>140410</v>
      </c>
      <c r="F61" s="10">
        <f t="shared" si="22"/>
        <v>185372.18545040206</v>
      </c>
      <c r="G61" s="10">
        <f t="shared" si="23"/>
        <v>105937.93963736949</v>
      </c>
      <c r="H61" s="10">
        <f t="shared" si="24"/>
        <v>191870</v>
      </c>
      <c r="I61" s="10">
        <f t="shared" si="25"/>
        <v>247548.3013459529</v>
      </c>
      <c r="J61" s="10">
        <f t="shared" si="26"/>
        <v>148451.88782783362</v>
      </c>
      <c r="L61" s="45">
        <f t="shared" si="16"/>
        <v>0.21660598609863357</v>
      </c>
      <c r="M61" s="45">
        <f t="shared" si="17"/>
        <v>0.30902547942906677</v>
      </c>
      <c r="N61" s="45">
        <f t="shared" si="18"/>
        <v>0.282887918641892</v>
      </c>
      <c r="P61" s="10">
        <v>57561</v>
      </c>
      <c r="Q61" s="10">
        <v>168224</v>
      </c>
      <c r="R61" s="106">
        <f t="shared" si="1"/>
        <v>225785</v>
      </c>
    </row>
    <row r="62" spans="1:18" x14ac:dyDescent="0.3">
      <c r="A62" s="107">
        <v>46569</v>
      </c>
      <c r="B62" s="10">
        <v>53919</v>
      </c>
      <c r="C62" s="10">
        <f t="shared" si="20"/>
        <v>65768.943299884515</v>
      </c>
      <c r="D62" s="10">
        <f t="shared" si="21"/>
        <v>44120.3244217416</v>
      </c>
      <c r="E62" s="10">
        <v>149900</v>
      </c>
      <c r="F62" s="10">
        <f t="shared" si="22"/>
        <v>200681.66246992117</v>
      </c>
      <c r="G62" s="10">
        <f t="shared" si="23"/>
        <v>111508.98055747057</v>
      </c>
      <c r="H62" s="10">
        <f t="shared" si="24"/>
        <v>203819</v>
      </c>
      <c r="I62" s="10">
        <f t="shared" si="25"/>
        <v>266450.60576980567</v>
      </c>
      <c r="J62" s="10">
        <f t="shared" si="26"/>
        <v>155629.30497921217</v>
      </c>
      <c r="L62" s="45">
        <f t="shared" si="16"/>
        <v>0.21365385913971235</v>
      </c>
      <c r="M62" s="45">
        <f t="shared" si="17"/>
        <v>0.31221877899749639</v>
      </c>
      <c r="N62" s="45">
        <f t="shared" si="18"/>
        <v>0.28461940867636026</v>
      </c>
      <c r="P62" s="10">
        <v>60478</v>
      </c>
      <c r="Q62" s="10">
        <v>179958</v>
      </c>
      <c r="R62" s="106">
        <f t="shared" si="1"/>
        <v>240436</v>
      </c>
    </row>
    <row r="63" spans="1:18" x14ac:dyDescent="0.3">
      <c r="A63" s="107">
        <v>46661</v>
      </c>
      <c r="B63" s="10">
        <v>56275</v>
      </c>
      <c r="C63" s="10">
        <f t="shared" si="20"/>
        <v>69300.418048162348</v>
      </c>
      <c r="D63" s="10">
        <f t="shared" si="21"/>
        <v>45606.966358956022</v>
      </c>
      <c r="E63" s="10">
        <v>159208</v>
      </c>
      <c r="F63" s="10">
        <f t="shared" si="22"/>
        <v>216153.16101784408</v>
      </c>
      <c r="G63" s="10">
        <f t="shared" si="23"/>
        <v>116760.4658693149</v>
      </c>
      <c r="H63" s="10">
        <f t="shared" si="24"/>
        <v>215483</v>
      </c>
      <c r="I63" s="10">
        <f t="shared" si="25"/>
        <v>285453.57906600641</v>
      </c>
      <c r="J63" s="10">
        <f t="shared" si="26"/>
        <v>162367.43222827092</v>
      </c>
      <c r="L63" s="45">
        <f t="shared" si="16"/>
        <v>0.21172645450239003</v>
      </c>
      <c r="M63" s="45">
        <f t="shared" si="17"/>
        <v>0.31779429536312009</v>
      </c>
      <c r="N63" s="45">
        <f t="shared" si="18"/>
        <v>0.28834242119864162</v>
      </c>
      <c r="P63" s="10">
        <v>63311</v>
      </c>
      <c r="Q63" s="10">
        <v>191526</v>
      </c>
      <c r="R63" s="106">
        <f t="shared" si="1"/>
        <v>254837</v>
      </c>
    </row>
    <row r="64" spans="1:18" x14ac:dyDescent="0.3">
      <c r="A64" s="107">
        <v>46753</v>
      </c>
      <c r="B64" s="9">
        <v>58399</v>
      </c>
      <c r="C64" s="9"/>
      <c r="D64" s="9"/>
      <c r="E64" s="9">
        <v>172340</v>
      </c>
      <c r="F64" s="9"/>
      <c r="G64" s="9"/>
      <c r="H64" s="10">
        <f t="shared" si="24"/>
        <v>230739</v>
      </c>
      <c r="I64" s="9"/>
      <c r="J64" s="9"/>
      <c r="P64" s="10">
        <v>66818</v>
      </c>
      <c r="Q64" s="10">
        <v>206259</v>
      </c>
    </row>
    <row r="65" spans="1:17" x14ac:dyDescent="0.3">
      <c r="A65" s="107">
        <v>46844</v>
      </c>
      <c r="B65" s="9">
        <v>60407</v>
      </c>
      <c r="C65" s="9"/>
      <c r="D65" s="9"/>
      <c r="E65" s="9">
        <v>183793</v>
      </c>
      <c r="F65" s="9"/>
      <c r="G65" s="9"/>
      <c r="H65" s="10">
        <f t="shared" si="24"/>
        <v>244200</v>
      </c>
      <c r="I65" s="9"/>
      <c r="J65" s="9"/>
      <c r="P65" s="10">
        <v>69964</v>
      </c>
      <c r="Q65" s="10">
        <v>219759</v>
      </c>
    </row>
    <row r="66" spans="1:17" x14ac:dyDescent="0.3">
      <c r="A66" s="107">
        <v>46935</v>
      </c>
      <c r="B66" s="9">
        <v>62602</v>
      </c>
      <c r="C66" s="9"/>
      <c r="D66" s="9"/>
      <c r="E66" s="9">
        <v>195914</v>
      </c>
      <c r="F66" s="9"/>
      <c r="G66" s="9"/>
      <c r="H66" s="10">
        <f t="shared" si="24"/>
        <v>258516</v>
      </c>
      <c r="I66" s="9"/>
      <c r="J66" s="9"/>
      <c r="P66" s="10">
        <v>73267</v>
      </c>
      <c r="Q66" s="10">
        <v>233727</v>
      </c>
    </row>
    <row r="67" spans="1:17" x14ac:dyDescent="0.3">
      <c r="A67" s="107">
        <v>47027</v>
      </c>
      <c r="B67" s="9">
        <v>64611</v>
      </c>
      <c r="C67" s="9"/>
      <c r="D67" s="9"/>
      <c r="E67" s="9">
        <v>207276</v>
      </c>
      <c r="F67" s="9"/>
      <c r="G67" s="9"/>
      <c r="H67" s="10">
        <f t="shared" si="24"/>
        <v>271887</v>
      </c>
      <c r="I67" s="9"/>
      <c r="J67" s="9"/>
      <c r="P67" s="10">
        <v>76470</v>
      </c>
      <c r="Q67" s="10">
        <v>247317</v>
      </c>
    </row>
    <row r="68" spans="1:17" x14ac:dyDescent="0.3">
      <c r="A68"/>
      <c r="B68" s="9"/>
      <c r="C68" s="9"/>
      <c r="D68" s="9"/>
      <c r="E68" s="9"/>
      <c r="F68" s="9"/>
      <c r="G68" s="9"/>
      <c r="H68" s="9"/>
      <c r="I68" s="9"/>
      <c r="J68" s="9"/>
    </row>
    <row r="69" spans="1:17" x14ac:dyDescent="0.3">
      <c r="G69" s="43"/>
      <c r="H69" s="9"/>
    </row>
    <row r="70" spans="1:17" x14ac:dyDescent="0.3">
      <c r="A70" s="1" t="s">
        <v>342</v>
      </c>
      <c r="G70" s="43"/>
      <c r="H70" s="9"/>
    </row>
    <row r="71" spans="1:17" x14ac:dyDescent="0.3">
      <c r="A71" s="1">
        <v>2014</v>
      </c>
      <c r="B71" s="5">
        <f>AVERAGE(B8:B11)/AVERAGE(B4:B7)-1</f>
        <v>0.80350953206239173</v>
      </c>
      <c r="C71" s="5"/>
      <c r="D71" s="5"/>
      <c r="E71" s="5">
        <f>AVERAGE(E8:E11)/AVERAGE(E4:E7)-1</f>
        <v>0.56442392260334207</v>
      </c>
      <c r="F71" s="5"/>
      <c r="G71" s="43"/>
      <c r="H71" s="43">
        <f>AVERAGE(H8:H11)/AVERAGE(H4:H7)-1</f>
        <v>0.6449095682613768</v>
      </c>
      <c r="I71" s="5"/>
      <c r="J71" s="5"/>
    </row>
    <row r="72" spans="1:17" x14ac:dyDescent="0.3">
      <c r="A72" s="42">
        <v>2015</v>
      </c>
      <c r="B72" s="43">
        <f>AVERAGE(B12:B15)/AVERAGE(B8:B11)-1</f>
        <v>0.44180180180180173</v>
      </c>
      <c r="C72" s="43"/>
      <c r="D72" s="43"/>
      <c r="E72" s="43">
        <f>AVERAGE(E12:E15)/AVERAGE(E8:E11)-1</f>
        <v>0.47624736472241747</v>
      </c>
      <c r="F72" s="43"/>
      <c r="G72" s="43"/>
      <c r="H72" s="43">
        <f>AVERAGE(H12:H15)/AVERAGE(H8:H11)-1</f>
        <v>0.46353358457104865</v>
      </c>
      <c r="I72" s="5"/>
      <c r="J72" s="5"/>
    </row>
    <row r="73" spans="1:17" x14ac:dyDescent="0.3">
      <c r="A73" s="42">
        <v>2016</v>
      </c>
      <c r="B73" s="43">
        <f>AVERAGE(B16:B19)/AVERAGE(B12:B15)-1</f>
        <v>0.44547196534199784</v>
      </c>
      <c r="C73" s="43"/>
      <c r="D73" s="43"/>
      <c r="E73" s="43">
        <f>AVERAGE(E16:E19)/AVERAGE(E12:E15)-1</f>
        <v>0.38858475746179844</v>
      </c>
      <c r="F73" s="43"/>
      <c r="G73" s="43"/>
      <c r="H73" s="43">
        <f>AVERAGE(H16:H19)/AVERAGE(H12:H15)-1</f>
        <v>0.40926991820660397</v>
      </c>
      <c r="I73" s="5"/>
      <c r="J73" s="5"/>
    </row>
    <row r="74" spans="1:17" x14ac:dyDescent="0.3">
      <c r="A74" s="42">
        <v>2017</v>
      </c>
      <c r="B74" s="43">
        <f>AVERAGE(B20:B23)/AVERAGE(B16:B19)-1</f>
        <v>0.41383285302593653</v>
      </c>
      <c r="C74" s="43"/>
      <c r="D74" s="43"/>
      <c r="E74" s="43">
        <f>AVERAGE(E20:E23)/AVERAGE(E16:E19)-1</f>
        <v>0.33167637984230369</v>
      </c>
      <c r="F74" s="43"/>
      <c r="G74" s="43"/>
      <c r="H74" s="43">
        <f>AVERAGE(H20:H23)/AVERAGE(H16:H19)-1</f>
        <v>0.36231728288907994</v>
      </c>
      <c r="I74" s="5"/>
      <c r="J74" s="5"/>
    </row>
    <row r="75" spans="1:17" x14ac:dyDescent="0.3">
      <c r="A75" s="42">
        <v>2018</v>
      </c>
      <c r="B75" s="43">
        <f>AVERAGE(B24:B27)/AVERAGE(B20:B23)-1</f>
        <v>0.3522625356706075</v>
      </c>
      <c r="C75" s="43"/>
      <c r="D75" s="43"/>
      <c r="E75" s="43">
        <f>AVERAGE(E24:E27)/AVERAGE(E20:E23)-1</f>
        <v>0.25220749131162301</v>
      </c>
      <c r="F75" s="43"/>
      <c r="G75" s="43"/>
      <c r="H75" s="43">
        <f>AVERAGE(H24:H27)/AVERAGE(H20:H23)-1</f>
        <v>0.29093491124260362</v>
      </c>
      <c r="I75" s="5"/>
      <c r="J75" s="5"/>
    </row>
    <row r="76" spans="1:17" x14ac:dyDescent="0.3">
      <c r="A76" s="61">
        <v>2019</v>
      </c>
      <c r="B76" s="43">
        <f>AVERAGE(B28:B31)/AVERAGE(B24:B27)-1</f>
        <v>0.28111904977239144</v>
      </c>
      <c r="C76" s="43"/>
      <c r="D76" s="43"/>
      <c r="E76" s="43">
        <f>AVERAGE(E28:E31)/AVERAGE(E24:E27)-1</f>
        <v>0.38220056741087949</v>
      </c>
      <c r="F76" s="43"/>
      <c r="G76" s="43"/>
      <c r="H76" s="43">
        <f>AVERAGE(H28:H30)/AVERAGE(H24:H26)-1</f>
        <v>0.34801410982600167</v>
      </c>
      <c r="I76" s="5"/>
      <c r="J76" s="5"/>
    </row>
    <row r="77" spans="1:17" x14ac:dyDescent="0.3">
      <c r="A77" s="42">
        <v>2020</v>
      </c>
      <c r="B77" s="43">
        <f>AVERAGE(B32:B35)/AVERAGE(B28:B31)-1</f>
        <v>0.13144766566265065</v>
      </c>
      <c r="C77" s="42"/>
      <c r="D77" s="43"/>
      <c r="E77" s="43">
        <f>AVERAGE(E32:E35)/AVERAGE(E28:E31)-1</f>
        <v>0.25668942334865319</v>
      </c>
      <c r="F77" s="42"/>
      <c r="G77" s="43"/>
      <c r="H77" s="43">
        <f>AVERAGE(H32:H35)/AVERAGE(H28:H31)-1</f>
        <v>0.2081856209388584</v>
      </c>
      <c r="I77" s="36"/>
    </row>
    <row r="78" spans="1:17" x14ac:dyDescent="0.3">
      <c r="A78" s="1">
        <v>2021</v>
      </c>
      <c r="B78" s="5">
        <f>SUM(B36:B39)/SUM(B32:B35)-1</f>
        <v>0.21403019841104776</v>
      </c>
      <c r="C78"/>
      <c r="D78" s="5"/>
      <c r="E78" s="5">
        <f>SUM(E36:E39)/SUM(E32:E35)-1</f>
        <v>0.28114237019327493</v>
      </c>
      <c r="F78"/>
      <c r="G78" s="5"/>
      <c r="H78" s="5">
        <f>SUM(H36:H39)/SUM(H32:H35)-1</f>
        <v>0.25680191290835985</v>
      </c>
      <c r="I78" s="5"/>
      <c r="J78" s="5"/>
    </row>
    <row r="79" spans="1:17" x14ac:dyDescent="0.3">
      <c r="A79" s="1">
        <v>2022</v>
      </c>
      <c r="B79" s="5">
        <f>SUM(B40:B43)/SUM(B36:B39)-1</f>
        <v>0.30668288421016565</v>
      </c>
      <c r="C79"/>
      <c r="D79" s="5"/>
      <c r="E79" s="5">
        <f>SUM(E40:E43)/SUM(E36:E39)-1</f>
        <v>0.35696798928356976</v>
      </c>
      <c r="F79"/>
      <c r="G79" s="5"/>
      <c r="H79" s="5">
        <f>SUM(H40:H43)/SUM(H36:H39)-1</f>
        <v>0.33935109051843138</v>
      </c>
    </row>
    <row r="80" spans="1:17" x14ac:dyDescent="0.3">
      <c r="A80" s="1">
        <v>2023</v>
      </c>
      <c r="B80" s="5">
        <f>SUM(B44:B47)/SUM(B40:B43)-1</f>
        <v>0.24572926909210091</v>
      </c>
      <c r="C80"/>
      <c r="E80" s="5">
        <f>SUM(E44:E47)/SUM(E40:E43)-1</f>
        <v>0.42437280865983595</v>
      </c>
      <c r="F80"/>
      <c r="H80" s="5">
        <f>SUM(H44:H47)/SUM(H40:H43)-1</f>
        <v>0.36331331779888876</v>
      </c>
    </row>
    <row r="81" spans="1:12" x14ac:dyDescent="0.3">
      <c r="A81" s="1">
        <v>2024</v>
      </c>
      <c r="B81" s="5">
        <f>SUM(B48:B51)/SUM(B44:B47)-1</f>
        <v>0.27700014734050393</v>
      </c>
      <c r="C81"/>
      <c r="E81" s="5">
        <f>SUM(E48:E51)/SUM(E44:E47)-1</f>
        <v>0.35078076082956144</v>
      </c>
      <c r="F81"/>
      <c r="H81" s="5">
        <f>SUM(H48:H51)/SUM(H44:H47)-1</f>
        <v>0.32773791484927872</v>
      </c>
    </row>
    <row r="82" spans="1:12" x14ac:dyDescent="0.3">
      <c r="A82" s="1">
        <v>2025</v>
      </c>
      <c r="B82" s="5">
        <f>SUM(B52:B55)/SUM(B48:B51)-1</f>
        <v>0.18812737971616467</v>
      </c>
      <c r="C82"/>
      <c r="E82" s="5">
        <f>SUM(E52:E55)/SUM(E48:E51)-1</f>
        <v>0.2333648256071108</v>
      </c>
      <c r="F82"/>
      <c r="H82" s="5">
        <f>SUM(H52:H55)/SUM(H48:H51)-1</f>
        <v>0.21977635679928298</v>
      </c>
    </row>
    <row r="83" spans="1:12" x14ac:dyDescent="0.3">
      <c r="A83" s="1">
        <v>2026</v>
      </c>
      <c r="B83" s="5">
        <f>SUM(B56:B59)/SUM(B52:B55)-1</f>
        <v>0.20338501023133215</v>
      </c>
      <c r="C83"/>
      <c r="E83" s="5">
        <f>SUM(E56:E59)/SUM(E52:E55)-1</f>
        <v>0.26981007574018823</v>
      </c>
      <c r="F83"/>
      <c r="H83" s="5">
        <f>SUM(H56:H59)/SUM(H52:H55)-1</f>
        <v>0.25037495560403866</v>
      </c>
      <c r="I83" s="5"/>
      <c r="J83" s="5"/>
    </row>
    <row r="84" spans="1:12" x14ac:dyDescent="0.3">
      <c r="A84" s="1">
        <v>2027</v>
      </c>
      <c r="B84" s="5">
        <f>SUM(B60:B63)/SUM(B56:B59)-1</f>
        <v>0.21448993002317196</v>
      </c>
      <c r="C84"/>
      <c r="E84" s="5">
        <f>SUM(E60:E63)/SUM(E56:E59)-1</f>
        <v>0.31173167948848302</v>
      </c>
      <c r="F84"/>
      <c r="H84" s="5">
        <f>SUM(H60:H63)/SUM(H56:H59)-1</f>
        <v>0.28434922763033388</v>
      </c>
    </row>
    <row r="87" spans="1:12" x14ac:dyDescent="0.3">
      <c r="A87"/>
      <c r="B87"/>
      <c r="C87"/>
      <c r="D87"/>
      <c r="E87"/>
      <c r="F87"/>
      <c r="G87"/>
      <c r="H87"/>
      <c r="I87"/>
      <c r="J87"/>
      <c r="K87"/>
      <c r="L87"/>
    </row>
    <row r="88" spans="1:12" x14ac:dyDescent="0.3">
      <c r="A88"/>
      <c r="B88"/>
      <c r="C88"/>
      <c r="D88"/>
      <c r="E88"/>
      <c r="F88"/>
      <c r="G88"/>
      <c r="H88"/>
      <c r="I88"/>
      <c r="J88"/>
      <c r="K88"/>
      <c r="L88"/>
    </row>
    <row r="89" spans="1:12" x14ac:dyDescent="0.3">
      <c r="A89"/>
      <c r="B89"/>
      <c r="C89"/>
      <c r="D89"/>
      <c r="E89"/>
      <c r="F89"/>
      <c r="G89"/>
      <c r="H89"/>
      <c r="I89"/>
      <c r="J89"/>
      <c r="K89"/>
      <c r="L89"/>
    </row>
    <row r="90" spans="1:12" x14ac:dyDescent="0.3">
      <c r="A90"/>
      <c r="B90"/>
      <c r="C90"/>
      <c r="D90"/>
      <c r="E90"/>
      <c r="F90"/>
      <c r="G90"/>
      <c r="H90"/>
      <c r="I90"/>
      <c r="J90"/>
      <c r="K90"/>
      <c r="L90"/>
    </row>
    <row r="91" spans="1:12" x14ac:dyDescent="0.3">
      <c r="A91"/>
      <c r="B91"/>
      <c r="C91"/>
      <c r="D91"/>
      <c r="E91"/>
      <c r="F91"/>
      <c r="G91"/>
      <c r="H91"/>
      <c r="I91"/>
      <c r="J91"/>
      <c r="K91"/>
      <c r="L91"/>
    </row>
    <row r="93" spans="1:12" x14ac:dyDescent="0.3">
      <c r="A93"/>
      <c r="B93"/>
      <c r="C93"/>
      <c r="D93"/>
    </row>
    <row r="94" spans="1:12" x14ac:dyDescent="0.3">
      <c r="B94" t="s">
        <v>343</v>
      </c>
      <c r="C94" s="1" t="s">
        <v>344</v>
      </c>
      <c r="D94" t="s">
        <v>345</v>
      </c>
      <c r="E94" t="s">
        <v>346</v>
      </c>
      <c r="F94" t="s">
        <v>347</v>
      </c>
      <c r="G94" t="s">
        <v>348</v>
      </c>
      <c r="H94" t="s">
        <v>349</v>
      </c>
    </row>
    <row r="95" spans="1:12" x14ac:dyDescent="0.3">
      <c r="A95" s="93">
        <v>2016</v>
      </c>
      <c r="B95" s="106">
        <v>41254921</v>
      </c>
      <c r="D95" s="17">
        <f>B95*3.6/116.09/1000000</f>
        <v>1.279332548884486</v>
      </c>
      <c r="E95" s="17">
        <f>D95+SUM(Forecast_Main!H93:K93)/1000000</f>
        <v>1.3264875488844861</v>
      </c>
      <c r="F95" s="9">
        <f>B95*(E95/D95)</f>
        <v>42775538.763888896</v>
      </c>
      <c r="G95" s="9">
        <f>AVERAGE(H16:H19)</f>
        <v>11630</v>
      </c>
      <c r="H95" s="9">
        <f>F95/G95</f>
        <v>3678.0342875226911</v>
      </c>
    </row>
    <row r="96" spans="1:12" x14ac:dyDescent="0.3">
      <c r="A96" s="93">
        <v>2017</v>
      </c>
      <c r="B96" s="106">
        <v>50421830</v>
      </c>
      <c r="C96" s="5">
        <f>+B96/B95-1</f>
        <v>0.22220158899346809</v>
      </c>
      <c r="D96" s="17">
        <f>B96*3.6/116.09/1000000</f>
        <v>1.5636022740976827</v>
      </c>
      <c r="E96" s="17">
        <f>D96+SUM(Forecast_Main!L93:O93)/1000000</f>
        <v>1.6431522740976827</v>
      </c>
      <c r="F96" s="9">
        <f>B96*(E96/D96)</f>
        <v>52987096.527777784</v>
      </c>
      <c r="G96" s="9">
        <f>AVERAGE(H20:H23)</f>
        <v>15843.75</v>
      </c>
      <c r="H96" s="9">
        <f t="shared" ref="H96:H100" si="27">F96/G96</f>
        <v>3344.3532325224637</v>
      </c>
    </row>
    <row r="97" spans="1:8" x14ac:dyDescent="0.3">
      <c r="A97" s="93">
        <v>2018</v>
      </c>
      <c r="B97" s="106">
        <v>68100000</v>
      </c>
      <c r="C97" s="5">
        <f t="shared" ref="C97:C104" si="28">+B97/B96-1</f>
        <v>0.35060548179231099</v>
      </c>
      <c r="D97" s="17">
        <f>B97*3.6/116.09/1000000</f>
        <v>2.1118098027392538</v>
      </c>
      <c r="E97" s="17">
        <f>D97+SUM(Forecast_Main!P93:S93)/1000000</f>
        <v>2.2355978027392536</v>
      </c>
      <c r="F97" s="9">
        <f>B97*(E97/D97)</f>
        <v>72091819.144444436</v>
      </c>
      <c r="G97" s="9">
        <f>AVERAGE(H24:H27)</f>
        <v>20453.25</v>
      </c>
      <c r="H97" s="9">
        <f t="shared" si="27"/>
        <v>3524.712167721239</v>
      </c>
    </row>
    <row r="98" spans="1:8" x14ac:dyDescent="0.3">
      <c r="A98" s="93">
        <v>2019</v>
      </c>
      <c r="B98" s="106">
        <v>86851000</v>
      </c>
      <c r="C98" s="5">
        <f t="shared" si="28"/>
        <v>0.27534508076358288</v>
      </c>
      <c r="D98" s="17">
        <f>B98*3.6/118.383/1000000</f>
        <v>2.6411190795975776</v>
      </c>
      <c r="E98" s="17">
        <f>D98+SUM(Forecast_Main!T93:W93)/1000000</f>
        <v>2.8779460795975775</v>
      </c>
      <c r="F98" s="9">
        <f>B98*E98/D98</f>
        <v>94638858.539166659</v>
      </c>
      <c r="G98" s="9">
        <f>AVERAGE(H28:H31)</f>
        <v>27432.25</v>
      </c>
      <c r="H98" s="9">
        <f t="shared" si="27"/>
        <v>3449.9123673474346</v>
      </c>
    </row>
    <row r="99" spans="1:8" x14ac:dyDescent="0.3">
      <c r="A99" s="93">
        <v>2020</v>
      </c>
      <c r="B99" s="106">
        <v>117091452.5</v>
      </c>
      <c r="C99" s="5">
        <f t="shared" si="28"/>
        <v>0.3481877295598208</v>
      </c>
      <c r="D99" s="17">
        <f t="shared" ref="D99:D104" si="29">B99*3.6/122.48/1000000</f>
        <v>3.4416168272370999</v>
      </c>
      <c r="E99" s="17">
        <f>D99+SUM(Forecast_Main!X93:AA93)/1000000</f>
        <v>3.6727678272371</v>
      </c>
      <c r="F99" s="9">
        <f>B99*E99/D99</f>
        <v>124955723.18888889</v>
      </c>
      <c r="G99" s="9">
        <f>AVERAGE(H32:H35)</f>
        <v>33143.25</v>
      </c>
      <c r="H99" s="9">
        <f t="shared" si="27"/>
        <v>3770.1710963435658</v>
      </c>
    </row>
    <row r="100" spans="1:8" x14ac:dyDescent="0.3">
      <c r="A100" s="93">
        <v>2021</v>
      </c>
      <c r="B100" s="106">
        <v>142995968</v>
      </c>
      <c r="C100" s="5">
        <f t="shared" si="28"/>
        <v>0.22123318950202631</v>
      </c>
      <c r="D100" s="17">
        <f t="shared" si="29"/>
        <v>4.203016694970608</v>
      </c>
      <c r="E100" s="17">
        <f>D100+SUM(Forecast_Main!AB93:AE93)/1000000</f>
        <v>4.6635986949706076</v>
      </c>
      <c r="F100" s="9">
        <f>B100*E100/D100</f>
        <v>158665991.15555555</v>
      </c>
      <c r="G100" s="9">
        <f>AVERAGE(H36:H39)</f>
        <v>41654.5</v>
      </c>
      <c r="H100" s="9">
        <f t="shared" si="27"/>
        <v>3809.0960437781164</v>
      </c>
    </row>
    <row r="101" spans="1:8" x14ac:dyDescent="0.3">
      <c r="A101" s="93">
        <v>2022</v>
      </c>
      <c r="B101" s="106">
        <v>205118294</v>
      </c>
      <c r="C101" s="5">
        <f t="shared" si="28"/>
        <v>0.43443410935894367</v>
      </c>
      <c r="D101" s="17">
        <f t="shared" si="29"/>
        <v>6.0289505094709339</v>
      </c>
      <c r="E101" s="17">
        <f>D101+SUM(Forecast_Main!AF93:AI93)/1000000</f>
        <v>6.9076645094709335</v>
      </c>
      <c r="F101" s="9">
        <f>+B101*E101/D101</f>
        <v>235014096.97777778</v>
      </c>
      <c r="G101" s="9">
        <f>AVERAGE(H40:H43)</f>
        <v>55790</v>
      </c>
      <c r="H101" s="9">
        <f>+F101/G101</f>
        <v>4212.4770922706184</v>
      </c>
    </row>
    <row r="102" spans="1:8" x14ac:dyDescent="0.3">
      <c r="A102">
        <v>2023</v>
      </c>
      <c r="B102" s="106">
        <f>SUM(Forecast_Main!$AJ$94:$AM$94)*ED_gas_T1/ED_eon_T1</f>
        <v>262864058.35555556</v>
      </c>
      <c r="C102" s="5">
        <f t="shared" si="28"/>
        <v>0.2815242035678962</v>
      </c>
      <c r="D102" s="17">
        <f t="shared" si="29"/>
        <v>7.7262459999999997</v>
      </c>
      <c r="E102" s="17">
        <f>D102+SUM(Forecast_Main!AJ93:AM93)/1000000</f>
        <v>9.0935769999999998</v>
      </c>
      <c r="F102" s="9">
        <f>+B102*E102/D102</f>
        <v>309383697.48888892</v>
      </c>
      <c r="G102" s="9">
        <f>AVERAGE(H44:H47)</f>
        <v>76059.25</v>
      </c>
      <c r="H102" s="9">
        <f>+F102/G102</f>
        <v>4067.6669502905816</v>
      </c>
    </row>
    <row r="103" spans="1:8" x14ac:dyDescent="0.3">
      <c r="A103">
        <v>2024</v>
      </c>
      <c r="B103" s="106">
        <f>SUM(Forecast_Main!AN94:AQ94)*ED_gas_T0/ED_eon_T0</f>
        <v>318600759.77777779</v>
      </c>
      <c r="C103" s="5">
        <f t="shared" si="28"/>
        <v>0.21203622043616011</v>
      </c>
      <c r="D103" s="17">
        <f t="shared" si="29"/>
        <v>9.36449</v>
      </c>
      <c r="E103" s="17">
        <f>D103+SUM(Forecast_Main!AN93:AQ93)/1000000</f>
        <v>11.267143000000001</v>
      </c>
      <c r="F103" s="9">
        <f>+B103*E103/D103</f>
        <v>383333242.95555562</v>
      </c>
      <c r="G103" s="9">
        <f>AVERAGE(H48:H51)</f>
        <v>100986.75</v>
      </c>
      <c r="H103" s="9">
        <f t="shared" ref="H103:H104" si="30">+F103/G103</f>
        <v>3795.876617036944</v>
      </c>
    </row>
    <row r="104" spans="1:8" x14ac:dyDescent="0.3">
      <c r="A104">
        <v>2025</v>
      </c>
      <c r="B104" s="106">
        <f>SUM(Forecast_Main!AR94:AU94)*ED_gas_T0/ED_eon_T0</f>
        <v>382231418.75</v>
      </c>
      <c r="C104" s="5">
        <f t="shared" si="28"/>
        <v>0.19971910618356414</v>
      </c>
      <c r="D104" s="17">
        <f t="shared" si="29"/>
        <v>11.234757572664924</v>
      </c>
      <c r="E104" s="17">
        <f>D104+SUM(Forecast_Main!AR93:AU93)/1000000</f>
        <v>14.125187727781967</v>
      </c>
      <c r="F104" s="9">
        <f>+B104*E104/D104</f>
        <v>480570275.80520433</v>
      </c>
      <c r="G104" s="9">
        <f>AVERAGE(H52:H55)</f>
        <v>123181.25</v>
      </c>
      <c r="H104" s="9">
        <f t="shared" si="30"/>
        <v>3901.3265071202341</v>
      </c>
    </row>
    <row r="107" spans="1:8" x14ac:dyDescent="0.3">
      <c r="B107" s="106">
        <f>G101*KWh_T2</f>
        <v>173116370</v>
      </c>
      <c r="C107" s="5">
        <f>+B107/B100-1</f>
        <v>0.21063812092939571</v>
      </c>
      <c r="F107" s="9">
        <f>B107*E101/D101</f>
        <v>198347921.94410926</v>
      </c>
      <c r="H107" s="9">
        <f>+F107/G101</f>
        <v>3555.2594003245968</v>
      </c>
    </row>
    <row r="108" spans="1:8" x14ac:dyDescent="0.3">
      <c r="C108" s="5">
        <f>+B102/B107-1</f>
        <v>0.51842404248399832</v>
      </c>
      <c r="H108" s="106"/>
    </row>
  </sheetData>
  <mergeCells count="2">
    <mergeCell ref="L2:N2"/>
    <mergeCell ref="P2:Q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159"/>
  <sheetViews>
    <sheetView zoomScale="85" zoomScaleNormal="85" workbookViewId="0">
      <pane xSplit="5" ySplit="6" topLeftCell="H48" activePane="bottomRight" state="frozen"/>
      <selection pane="topRight" activeCell="E1" sqref="E1"/>
      <selection pane="bottomLeft" activeCell="A7" sqref="A7"/>
      <selection pane="bottomRight" activeCell="K55" sqref="K55"/>
    </sheetView>
  </sheetViews>
  <sheetFormatPr defaultRowHeight="14.4" x14ac:dyDescent="0.3"/>
  <cols>
    <col min="1" max="1" width="42.44140625" hidden="1" customWidth="1"/>
    <col min="2" max="2" width="22" customWidth="1"/>
    <col min="3" max="3" width="30.44140625" customWidth="1"/>
    <col min="4" max="4" width="0.33203125" customWidth="1"/>
    <col min="5" max="5" width="15.88671875" customWidth="1"/>
    <col min="6" max="17" width="8.5546875" customWidth="1"/>
  </cols>
  <sheetData>
    <row r="1" spans="1:43" x14ac:dyDescent="0.3">
      <c r="A1" t="s">
        <v>350</v>
      </c>
      <c r="B1" t="s">
        <v>350</v>
      </c>
    </row>
    <row r="2" spans="1:43" x14ac:dyDescent="0.3">
      <c r="A2" t="s">
        <v>351</v>
      </c>
      <c r="B2" s="47" t="s">
        <v>352</v>
      </c>
    </row>
    <row r="3" spans="1:43" x14ac:dyDescent="0.3">
      <c r="A3" t="s">
        <v>353</v>
      </c>
      <c r="B3" t="s">
        <v>354</v>
      </c>
    </row>
    <row r="4" spans="1:43" x14ac:dyDescent="0.3">
      <c r="A4" t="s">
        <v>355</v>
      </c>
      <c r="B4" t="s">
        <v>355</v>
      </c>
    </row>
    <row r="5" spans="1:43" x14ac:dyDescent="0.3">
      <c r="C5" t="s">
        <v>356</v>
      </c>
      <c r="D5" t="s">
        <v>357</v>
      </c>
      <c r="E5" t="s">
        <v>358</v>
      </c>
      <c r="F5">
        <v>2014</v>
      </c>
      <c r="G5">
        <v>2015</v>
      </c>
      <c r="H5">
        <v>2016</v>
      </c>
      <c r="I5">
        <v>2017</v>
      </c>
      <c r="J5">
        <v>2018</v>
      </c>
      <c r="K5">
        <v>2019</v>
      </c>
      <c r="L5">
        <v>2020</v>
      </c>
      <c r="M5">
        <v>2021</v>
      </c>
      <c r="N5">
        <v>2022</v>
      </c>
      <c r="O5">
        <v>2023</v>
      </c>
      <c r="P5">
        <v>2024</v>
      </c>
      <c r="Q5">
        <v>2025</v>
      </c>
      <c r="R5">
        <v>2026</v>
      </c>
      <c r="S5">
        <v>2027</v>
      </c>
      <c r="T5">
        <v>2028</v>
      </c>
      <c r="U5">
        <v>2029</v>
      </c>
      <c r="V5">
        <v>2030</v>
      </c>
      <c r="W5">
        <v>2031</v>
      </c>
      <c r="X5">
        <v>2032</v>
      </c>
      <c r="Y5">
        <v>2033</v>
      </c>
      <c r="Z5">
        <v>2034</v>
      </c>
      <c r="AA5">
        <v>2035</v>
      </c>
      <c r="AB5">
        <v>2036</v>
      </c>
      <c r="AC5">
        <v>2037</v>
      </c>
      <c r="AD5">
        <v>2038</v>
      </c>
      <c r="AE5">
        <v>2039</v>
      </c>
      <c r="AF5">
        <v>2040</v>
      </c>
      <c r="AG5">
        <v>2041</v>
      </c>
      <c r="AH5">
        <v>2042</v>
      </c>
      <c r="AI5">
        <v>2043</v>
      </c>
      <c r="AJ5">
        <v>2044</v>
      </c>
      <c r="AK5">
        <v>2045</v>
      </c>
      <c r="AL5">
        <v>2046</v>
      </c>
      <c r="AM5">
        <v>2047</v>
      </c>
      <c r="AN5">
        <v>2048</v>
      </c>
      <c r="AO5">
        <v>2049</v>
      </c>
      <c r="AP5">
        <v>2050</v>
      </c>
      <c r="AQ5" t="s">
        <v>359</v>
      </c>
    </row>
    <row r="6" spans="1:43" x14ac:dyDescent="0.3">
      <c r="A6" t="s">
        <v>360</v>
      </c>
      <c r="B6" t="s">
        <v>360</v>
      </c>
      <c r="D6" t="s">
        <v>361</v>
      </c>
    </row>
    <row r="7" spans="1:43" x14ac:dyDescent="0.3">
      <c r="A7" t="s">
        <v>118</v>
      </c>
      <c r="B7" t="s">
        <v>118</v>
      </c>
      <c r="C7" t="s">
        <v>362</v>
      </c>
      <c r="D7" t="s">
        <v>363</v>
      </c>
      <c r="E7" t="s">
        <v>364</v>
      </c>
      <c r="I7">
        <v>2.7188E-2</v>
      </c>
      <c r="J7">
        <v>3.0984000000000001E-2</v>
      </c>
      <c r="K7">
        <v>3.7754999999999997E-2</v>
      </c>
      <c r="L7">
        <v>3.6566000000000001E-2</v>
      </c>
      <c r="M7">
        <v>3.8239000000000002E-2</v>
      </c>
      <c r="N7">
        <v>3.5201999999999997E-2</v>
      </c>
      <c r="O7">
        <v>3.6466999999999999E-2</v>
      </c>
      <c r="P7">
        <v>3.4469E-2</v>
      </c>
      <c r="Q7">
        <v>3.4209999999999997E-2</v>
      </c>
      <c r="R7">
        <v>3.4248000000000001E-2</v>
      </c>
      <c r="S7">
        <v>3.4224999999999998E-2</v>
      </c>
      <c r="T7">
        <v>3.4188000000000003E-2</v>
      </c>
      <c r="U7">
        <v>3.4070000000000003E-2</v>
      </c>
      <c r="V7">
        <v>3.3935E-2</v>
      </c>
      <c r="W7">
        <v>3.3811000000000001E-2</v>
      </c>
      <c r="X7">
        <v>3.3680000000000002E-2</v>
      </c>
      <c r="Y7">
        <v>3.3567E-2</v>
      </c>
      <c r="Z7">
        <v>3.3474999999999998E-2</v>
      </c>
      <c r="AA7">
        <v>3.3444000000000002E-2</v>
      </c>
      <c r="AB7">
        <v>3.3456E-2</v>
      </c>
      <c r="AC7">
        <v>3.3501999999999997E-2</v>
      </c>
      <c r="AD7">
        <v>3.3585999999999998E-2</v>
      </c>
      <c r="AE7">
        <v>3.3687000000000002E-2</v>
      </c>
      <c r="AF7">
        <v>3.3799000000000003E-2</v>
      </c>
      <c r="AG7">
        <v>3.3916000000000002E-2</v>
      </c>
      <c r="AH7">
        <v>3.4028999999999997E-2</v>
      </c>
      <c r="AI7">
        <v>3.4126999999999998E-2</v>
      </c>
      <c r="AJ7">
        <v>3.4224999999999998E-2</v>
      </c>
      <c r="AK7">
        <v>3.4339000000000001E-2</v>
      </c>
      <c r="AL7">
        <v>3.4459999999999998E-2</v>
      </c>
      <c r="AM7">
        <v>3.4575000000000002E-2</v>
      </c>
      <c r="AN7">
        <v>3.4694999999999997E-2</v>
      </c>
      <c r="AO7">
        <v>3.4838000000000001E-2</v>
      </c>
      <c r="AP7">
        <v>3.4995999999999999E-2</v>
      </c>
      <c r="AQ7" s="6">
        <v>-0.01</v>
      </c>
    </row>
    <row r="8" spans="1:43" x14ac:dyDescent="0.3">
      <c r="A8" t="s">
        <v>365</v>
      </c>
      <c r="B8" t="s">
        <v>365</v>
      </c>
      <c r="C8" t="s">
        <v>366</v>
      </c>
      <c r="D8" t="s">
        <v>367</v>
      </c>
      <c r="E8" t="s">
        <v>364</v>
      </c>
      <c r="I8">
        <v>4.803E-3</v>
      </c>
      <c r="J8">
        <v>9.5560000000000003E-3</v>
      </c>
      <c r="K8">
        <v>1.7166000000000001E-2</v>
      </c>
      <c r="L8">
        <v>1.4893E-2</v>
      </c>
      <c r="M8">
        <v>1.3161000000000001E-2</v>
      </c>
      <c r="N8">
        <v>1.1439E-2</v>
      </c>
      <c r="O8">
        <v>1.2359E-2</v>
      </c>
      <c r="P8">
        <v>1.3747000000000001E-2</v>
      </c>
      <c r="Q8">
        <v>1.3445E-2</v>
      </c>
      <c r="R8">
        <v>1.3297E-2</v>
      </c>
      <c r="S8">
        <v>1.3106E-2</v>
      </c>
      <c r="T8">
        <v>1.2886E-2</v>
      </c>
      <c r="U8">
        <v>1.2658000000000001E-2</v>
      </c>
      <c r="V8">
        <v>1.2439E-2</v>
      </c>
      <c r="W8">
        <v>1.2246999999999999E-2</v>
      </c>
      <c r="X8">
        <v>1.2078999999999999E-2</v>
      </c>
      <c r="Y8">
        <v>1.1927E-2</v>
      </c>
      <c r="Z8">
        <v>1.1771999999999999E-2</v>
      </c>
      <c r="AA8">
        <v>1.1619000000000001E-2</v>
      </c>
      <c r="AB8">
        <v>1.1472E-2</v>
      </c>
      <c r="AC8">
        <v>1.1323E-2</v>
      </c>
      <c r="AD8">
        <v>1.1176999999999999E-2</v>
      </c>
      <c r="AE8">
        <v>1.1029000000000001E-2</v>
      </c>
      <c r="AF8">
        <v>1.0883E-2</v>
      </c>
      <c r="AG8">
        <v>1.0739E-2</v>
      </c>
      <c r="AH8">
        <v>1.0598E-2</v>
      </c>
      <c r="AI8">
        <v>1.0460000000000001E-2</v>
      </c>
      <c r="AJ8">
        <v>1.0326999999999999E-2</v>
      </c>
      <c r="AK8">
        <v>1.0201999999999999E-2</v>
      </c>
      <c r="AL8">
        <v>1.0078E-2</v>
      </c>
      <c r="AM8">
        <v>9.9520000000000008E-3</v>
      </c>
      <c r="AN8">
        <v>9.8329999999999997E-3</v>
      </c>
      <c r="AO8">
        <v>9.7230000000000007E-3</v>
      </c>
      <c r="AP8">
        <v>9.6139999999999993E-3</v>
      </c>
      <c r="AQ8" s="6">
        <v>-2.5000000000000001E-2</v>
      </c>
    </row>
    <row r="9" spans="1:43" x14ac:dyDescent="0.3">
      <c r="A9" t="s">
        <v>368</v>
      </c>
      <c r="B9" t="s">
        <v>368</v>
      </c>
      <c r="C9" t="s">
        <v>369</v>
      </c>
      <c r="D9" t="s">
        <v>370</v>
      </c>
      <c r="E9" t="s">
        <v>364</v>
      </c>
      <c r="I9">
        <v>3.1990999999999999E-2</v>
      </c>
      <c r="J9">
        <v>4.054E-2</v>
      </c>
      <c r="K9">
        <v>5.4920999999999998E-2</v>
      </c>
      <c r="L9">
        <v>5.1458999999999998E-2</v>
      </c>
      <c r="M9">
        <v>5.1400000000000001E-2</v>
      </c>
      <c r="N9">
        <v>4.6641000000000002E-2</v>
      </c>
      <c r="O9">
        <v>4.8826000000000001E-2</v>
      </c>
      <c r="P9">
        <v>4.8216000000000002E-2</v>
      </c>
      <c r="Q9">
        <v>4.7655000000000003E-2</v>
      </c>
      <c r="R9">
        <v>4.7544999999999997E-2</v>
      </c>
      <c r="S9">
        <v>4.7330999999999998E-2</v>
      </c>
      <c r="T9">
        <v>4.7073999999999998E-2</v>
      </c>
      <c r="U9">
        <v>4.6727999999999999E-2</v>
      </c>
      <c r="V9">
        <v>4.6375E-2</v>
      </c>
      <c r="W9">
        <v>4.6058000000000002E-2</v>
      </c>
      <c r="X9">
        <v>4.5758E-2</v>
      </c>
      <c r="Y9">
        <v>4.5494E-2</v>
      </c>
      <c r="Z9">
        <v>4.5247000000000002E-2</v>
      </c>
      <c r="AA9">
        <v>4.5062999999999999E-2</v>
      </c>
      <c r="AB9">
        <v>4.4928000000000003E-2</v>
      </c>
      <c r="AC9">
        <v>4.4824999999999997E-2</v>
      </c>
      <c r="AD9">
        <v>4.4762000000000003E-2</v>
      </c>
      <c r="AE9">
        <v>4.4715999999999999E-2</v>
      </c>
      <c r="AF9">
        <v>4.4681999999999999E-2</v>
      </c>
      <c r="AG9">
        <v>4.4655E-2</v>
      </c>
      <c r="AH9">
        <v>4.4628000000000001E-2</v>
      </c>
      <c r="AI9">
        <v>4.4587000000000002E-2</v>
      </c>
      <c r="AJ9">
        <v>4.4552000000000001E-2</v>
      </c>
      <c r="AK9">
        <v>4.4540999999999997E-2</v>
      </c>
      <c r="AL9">
        <v>4.4538000000000001E-2</v>
      </c>
      <c r="AM9">
        <v>4.4526000000000003E-2</v>
      </c>
      <c r="AN9">
        <v>4.4527999999999998E-2</v>
      </c>
      <c r="AO9">
        <v>4.4560000000000002E-2</v>
      </c>
      <c r="AP9">
        <v>4.4609999999999997E-2</v>
      </c>
      <c r="AQ9" s="6">
        <v>-1.2999999999999999E-2</v>
      </c>
    </row>
    <row r="10" spans="1:43" x14ac:dyDescent="0.3">
      <c r="A10" t="s">
        <v>98</v>
      </c>
      <c r="B10" t="s">
        <v>98</v>
      </c>
      <c r="C10" t="s">
        <v>371</v>
      </c>
      <c r="D10" t="s">
        <v>372</v>
      </c>
      <c r="E10" t="s">
        <v>364</v>
      </c>
      <c r="I10">
        <v>0.61254799999999998</v>
      </c>
      <c r="J10">
        <v>0.61928000000000005</v>
      </c>
      <c r="K10">
        <v>0.68108400000000002</v>
      </c>
      <c r="L10">
        <v>0.657304</v>
      </c>
      <c r="M10">
        <v>0.67023699999999997</v>
      </c>
      <c r="N10">
        <v>0.65213699999999997</v>
      </c>
      <c r="O10">
        <v>0.76061599999999996</v>
      </c>
      <c r="P10">
        <v>0.59975999999999996</v>
      </c>
      <c r="Q10">
        <v>0.60613799999999995</v>
      </c>
      <c r="R10">
        <v>0.61045000000000005</v>
      </c>
      <c r="S10">
        <v>0.614317</v>
      </c>
      <c r="T10">
        <v>0.61782000000000004</v>
      </c>
      <c r="U10">
        <v>0.617919</v>
      </c>
      <c r="V10">
        <v>0.61777300000000002</v>
      </c>
      <c r="W10">
        <v>0.61520399999999997</v>
      </c>
      <c r="X10">
        <v>0.61010299999999995</v>
      </c>
      <c r="Y10">
        <v>0.60534699999999997</v>
      </c>
      <c r="Z10">
        <v>0.60114000000000001</v>
      </c>
      <c r="AA10">
        <v>0.59810200000000002</v>
      </c>
      <c r="AB10">
        <v>0.59605300000000006</v>
      </c>
      <c r="AC10">
        <v>0.59438999999999997</v>
      </c>
      <c r="AD10">
        <v>0.59282400000000002</v>
      </c>
      <c r="AE10">
        <v>0.59078799999999998</v>
      </c>
      <c r="AF10">
        <v>0.58824100000000001</v>
      </c>
      <c r="AG10">
        <v>0.58504299999999998</v>
      </c>
      <c r="AH10">
        <v>0.58137099999999997</v>
      </c>
      <c r="AI10">
        <v>0.57753399999999999</v>
      </c>
      <c r="AJ10">
        <v>0.57384400000000002</v>
      </c>
      <c r="AK10">
        <v>0.57030400000000003</v>
      </c>
      <c r="AL10">
        <v>0.56652800000000003</v>
      </c>
      <c r="AM10">
        <v>0.56277600000000005</v>
      </c>
      <c r="AN10">
        <v>0.55930299999999999</v>
      </c>
      <c r="AO10">
        <v>0.55610899999999996</v>
      </c>
      <c r="AP10">
        <v>0.55293499999999995</v>
      </c>
      <c r="AQ10" s="6">
        <v>0</v>
      </c>
    </row>
    <row r="11" spans="1:43" x14ac:dyDescent="0.3">
      <c r="A11" t="s">
        <v>373</v>
      </c>
      <c r="B11" t="s">
        <v>373</v>
      </c>
      <c r="C11" t="s">
        <v>374</v>
      </c>
      <c r="D11" t="s">
        <v>375</v>
      </c>
      <c r="E11" t="s">
        <v>364</v>
      </c>
      <c r="I11">
        <v>6.4128000000000004E-2</v>
      </c>
      <c r="J11">
        <v>6.8844000000000002E-2</v>
      </c>
      <c r="K11">
        <v>9.0633000000000005E-2</v>
      </c>
      <c r="L11">
        <v>7.7910999999999994E-2</v>
      </c>
      <c r="M11">
        <v>8.0072000000000004E-2</v>
      </c>
      <c r="N11">
        <v>7.9525999999999999E-2</v>
      </c>
      <c r="O11">
        <v>9.5937999999999996E-2</v>
      </c>
      <c r="P11">
        <v>5.0222999999999997E-2</v>
      </c>
      <c r="Q11">
        <v>4.5705999999999997E-2</v>
      </c>
      <c r="R11">
        <v>4.4141E-2</v>
      </c>
      <c r="S11">
        <v>4.3432999999999999E-2</v>
      </c>
      <c r="T11">
        <v>4.3189999999999999E-2</v>
      </c>
      <c r="U11">
        <v>4.3053000000000001E-2</v>
      </c>
      <c r="V11">
        <v>4.2938999999999998E-2</v>
      </c>
      <c r="W11">
        <v>4.2448E-2</v>
      </c>
      <c r="X11">
        <v>4.1614999999999999E-2</v>
      </c>
      <c r="Y11">
        <v>4.0849999999999997E-2</v>
      </c>
      <c r="Z11">
        <v>4.0098000000000002E-2</v>
      </c>
      <c r="AA11">
        <v>3.9378999999999997E-2</v>
      </c>
      <c r="AB11">
        <v>3.8649000000000003E-2</v>
      </c>
      <c r="AC11">
        <v>3.7914999999999997E-2</v>
      </c>
      <c r="AD11">
        <v>3.7232000000000001E-2</v>
      </c>
      <c r="AE11">
        <v>3.6518000000000002E-2</v>
      </c>
      <c r="AF11">
        <v>3.5810000000000002E-2</v>
      </c>
      <c r="AG11">
        <v>3.5139999999999998E-2</v>
      </c>
      <c r="AH11">
        <v>3.4449E-2</v>
      </c>
      <c r="AI11">
        <v>3.3812000000000002E-2</v>
      </c>
      <c r="AJ11">
        <v>3.3182999999999997E-2</v>
      </c>
      <c r="AK11">
        <v>3.2550999999999997E-2</v>
      </c>
      <c r="AL11">
        <v>3.1951E-2</v>
      </c>
      <c r="AM11">
        <v>3.1459000000000001E-2</v>
      </c>
      <c r="AN11">
        <v>3.0915000000000002E-2</v>
      </c>
      <c r="AO11">
        <v>3.0356000000000001E-2</v>
      </c>
      <c r="AP11">
        <v>2.9808000000000001E-2</v>
      </c>
      <c r="AQ11" s="6">
        <v>-1.2999999999999999E-2</v>
      </c>
    </row>
    <row r="12" spans="1:43" x14ac:dyDescent="0.3">
      <c r="A12" t="s">
        <v>376</v>
      </c>
      <c r="B12" t="s">
        <v>176</v>
      </c>
      <c r="C12" t="s">
        <v>377</v>
      </c>
      <c r="D12" t="s">
        <v>378</v>
      </c>
      <c r="E12" t="s">
        <v>364</v>
      </c>
      <c r="I12">
        <v>0.51865300000000003</v>
      </c>
      <c r="J12">
        <v>0.51068800000000003</v>
      </c>
      <c r="K12">
        <v>0.50126199999999999</v>
      </c>
      <c r="L12">
        <v>0.54883400000000004</v>
      </c>
      <c r="M12">
        <v>0.53361499999999995</v>
      </c>
      <c r="N12">
        <v>0.52294700000000005</v>
      </c>
      <c r="O12">
        <v>0.500108</v>
      </c>
      <c r="P12">
        <v>0.51002899999999995</v>
      </c>
      <c r="Q12">
        <v>0.46898299999999998</v>
      </c>
      <c r="R12">
        <v>0.47027600000000003</v>
      </c>
      <c r="S12">
        <v>0.47561300000000001</v>
      </c>
      <c r="T12">
        <v>0.47645599999999999</v>
      </c>
      <c r="U12">
        <v>0.47184100000000001</v>
      </c>
      <c r="V12">
        <v>0.463559</v>
      </c>
      <c r="W12">
        <v>0.45384400000000003</v>
      </c>
      <c r="X12">
        <v>0.44529400000000002</v>
      </c>
      <c r="Y12">
        <v>0.43850899999999998</v>
      </c>
      <c r="Z12">
        <v>0.43346899999999999</v>
      </c>
      <c r="AA12">
        <v>0.43102600000000002</v>
      </c>
      <c r="AB12">
        <v>0.42972300000000002</v>
      </c>
      <c r="AC12">
        <v>0.42905900000000002</v>
      </c>
      <c r="AD12">
        <v>0.42882799999999999</v>
      </c>
      <c r="AE12">
        <v>0.42952800000000002</v>
      </c>
      <c r="AF12">
        <v>0.43057600000000001</v>
      </c>
      <c r="AG12">
        <v>0.431587</v>
      </c>
      <c r="AH12">
        <v>0.43276500000000001</v>
      </c>
      <c r="AI12">
        <v>0.43367699999999998</v>
      </c>
      <c r="AJ12">
        <v>0.43480799999999997</v>
      </c>
      <c r="AK12">
        <v>0.43654500000000002</v>
      </c>
      <c r="AL12">
        <v>0.438608</v>
      </c>
      <c r="AM12">
        <v>0.440637</v>
      </c>
      <c r="AN12">
        <v>0.442469</v>
      </c>
      <c r="AO12">
        <v>0.44483200000000001</v>
      </c>
      <c r="AP12">
        <v>0.44720599999999999</v>
      </c>
      <c r="AQ12" s="6">
        <v>-8.0000000000000002E-3</v>
      </c>
    </row>
    <row r="13" spans="1:43" x14ac:dyDescent="0.3">
      <c r="A13" t="s">
        <v>379</v>
      </c>
      <c r="B13" t="s">
        <v>379</v>
      </c>
      <c r="C13" t="s">
        <v>380</v>
      </c>
      <c r="D13" t="s">
        <v>381</v>
      </c>
      <c r="E13" t="s">
        <v>364</v>
      </c>
      <c r="I13">
        <v>1.22732</v>
      </c>
      <c r="J13">
        <v>1.2393529999999999</v>
      </c>
      <c r="K13">
        <v>1.3279000000000001</v>
      </c>
      <c r="L13">
        <v>1.3355090000000001</v>
      </c>
      <c r="M13">
        <v>1.335324</v>
      </c>
      <c r="N13">
        <v>1.3012509999999999</v>
      </c>
      <c r="O13">
        <v>1.4054869999999999</v>
      </c>
      <c r="P13">
        <v>1.2082280000000001</v>
      </c>
      <c r="Q13">
        <v>1.168482</v>
      </c>
      <c r="R13">
        <v>1.172412</v>
      </c>
      <c r="S13">
        <v>1.180693</v>
      </c>
      <c r="T13">
        <v>1.1845410000000001</v>
      </c>
      <c r="U13">
        <v>1.179541</v>
      </c>
      <c r="V13">
        <v>1.1706449999999999</v>
      </c>
      <c r="W13">
        <v>1.1575530000000001</v>
      </c>
      <c r="X13">
        <v>1.142771</v>
      </c>
      <c r="Y13">
        <v>1.1302000000000001</v>
      </c>
      <c r="Z13">
        <v>1.1199539999999999</v>
      </c>
      <c r="AA13">
        <v>1.1135699999999999</v>
      </c>
      <c r="AB13">
        <v>1.109354</v>
      </c>
      <c r="AC13">
        <v>1.10619</v>
      </c>
      <c r="AD13">
        <v>1.1036459999999999</v>
      </c>
      <c r="AE13">
        <v>1.10155</v>
      </c>
      <c r="AF13">
        <v>1.09931</v>
      </c>
      <c r="AG13">
        <v>1.096425</v>
      </c>
      <c r="AH13">
        <v>1.093213</v>
      </c>
      <c r="AI13">
        <v>1.08961</v>
      </c>
      <c r="AJ13">
        <v>1.086387</v>
      </c>
      <c r="AK13">
        <v>1.083941</v>
      </c>
      <c r="AL13">
        <v>1.0816239999999999</v>
      </c>
      <c r="AM13">
        <v>1.0793980000000001</v>
      </c>
      <c r="AN13">
        <v>1.077215</v>
      </c>
      <c r="AO13">
        <v>1.075858</v>
      </c>
      <c r="AP13">
        <v>1.0745579999999999</v>
      </c>
      <c r="AQ13" s="6">
        <v>-4.0000000000000001E-3</v>
      </c>
    </row>
    <row r="14" spans="1:43" x14ac:dyDescent="0.3">
      <c r="A14" t="s">
        <v>382</v>
      </c>
      <c r="B14" t="s">
        <v>382</v>
      </c>
      <c r="C14" t="s">
        <v>383</v>
      </c>
      <c r="D14" t="s">
        <v>384</v>
      </c>
      <c r="E14" t="s">
        <v>364</v>
      </c>
      <c r="I14">
        <v>0.78537800000000002</v>
      </c>
      <c r="J14">
        <v>0.79279900000000003</v>
      </c>
      <c r="K14">
        <v>0.74478</v>
      </c>
      <c r="L14">
        <v>0.77737199999999995</v>
      </c>
      <c r="M14">
        <v>0.71596099999999996</v>
      </c>
      <c r="N14">
        <v>0.70677000000000001</v>
      </c>
      <c r="O14">
        <v>0.71005600000000002</v>
      </c>
      <c r="P14">
        <v>0.24200199999999999</v>
      </c>
      <c r="Q14">
        <v>0.20250799999999999</v>
      </c>
      <c r="R14">
        <v>0.18777199999999999</v>
      </c>
      <c r="S14">
        <v>0.17219899999999999</v>
      </c>
      <c r="T14">
        <v>0.17776600000000001</v>
      </c>
      <c r="U14">
        <v>0.17882100000000001</v>
      </c>
      <c r="V14">
        <v>0.157365</v>
      </c>
      <c r="W14">
        <v>0.135237</v>
      </c>
      <c r="X14">
        <v>0.13841700000000001</v>
      </c>
      <c r="Y14">
        <v>0.119889</v>
      </c>
      <c r="Z14">
        <v>0.122139</v>
      </c>
      <c r="AA14">
        <v>0.120312</v>
      </c>
      <c r="AB14">
        <v>0.112057</v>
      </c>
      <c r="AC14">
        <v>0.106404</v>
      </c>
      <c r="AD14">
        <v>0.105376</v>
      </c>
      <c r="AE14">
        <v>9.9339999999999998E-2</v>
      </c>
      <c r="AF14">
        <v>9.5841999999999997E-2</v>
      </c>
      <c r="AG14">
        <v>9.6781000000000006E-2</v>
      </c>
      <c r="AH14">
        <v>8.5272000000000001E-2</v>
      </c>
      <c r="AI14">
        <v>9.3573000000000003E-2</v>
      </c>
      <c r="AJ14">
        <v>8.7386000000000005E-2</v>
      </c>
      <c r="AK14">
        <v>8.5125000000000006E-2</v>
      </c>
      <c r="AL14">
        <v>8.0884999999999999E-2</v>
      </c>
      <c r="AM14">
        <v>8.5741999999999999E-2</v>
      </c>
      <c r="AN14">
        <v>8.2572000000000007E-2</v>
      </c>
      <c r="AO14">
        <v>8.0435999999999994E-2</v>
      </c>
      <c r="AP14">
        <v>7.8709000000000001E-2</v>
      </c>
      <c r="AQ14" s="6">
        <v>-0.01</v>
      </c>
    </row>
    <row r="15" spans="1:43" x14ac:dyDescent="0.3">
      <c r="A15" t="s">
        <v>169</v>
      </c>
      <c r="B15" t="s">
        <v>169</v>
      </c>
      <c r="C15" t="s">
        <v>385</v>
      </c>
      <c r="D15" t="s">
        <v>386</v>
      </c>
      <c r="E15" t="s">
        <v>364</v>
      </c>
      <c r="I15">
        <v>2.0126970000000002</v>
      </c>
      <c r="J15">
        <v>2.0321509999999998</v>
      </c>
      <c r="K15">
        <v>2.0726800000000001</v>
      </c>
      <c r="L15">
        <v>2.1128809999999998</v>
      </c>
      <c r="M15">
        <v>2.051285</v>
      </c>
      <c r="N15">
        <v>2.0080209999999998</v>
      </c>
      <c r="O15">
        <v>2.1155430000000002</v>
      </c>
      <c r="P15">
        <v>1.450229</v>
      </c>
      <c r="Q15">
        <v>1.3709910000000001</v>
      </c>
      <c r="R15">
        <v>1.3601840000000001</v>
      </c>
      <c r="S15">
        <v>1.352892</v>
      </c>
      <c r="T15">
        <v>1.362306</v>
      </c>
      <c r="U15">
        <v>1.3583620000000001</v>
      </c>
      <c r="V15">
        <v>1.3280099999999999</v>
      </c>
      <c r="W15">
        <v>1.2927900000000001</v>
      </c>
      <c r="X15">
        <v>1.281188</v>
      </c>
      <c r="Y15">
        <v>1.250089</v>
      </c>
      <c r="Z15">
        <v>1.2420929999999999</v>
      </c>
      <c r="AA15">
        <v>1.2338819999999999</v>
      </c>
      <c r="AB15">
        <v>1.2214100000000001</v>
      </c>
      <c r="AC15">
        <v>1.2125939999999999</v>
      </c>
      <c r="AD15">
        <v>1.209022</v>
      </c>
      <c r="AE15">
        <v>1.20089</v>
      </c>
      <c r="AF15">
        <v>1.195152</v>
      </c>
      <c r="AG15">
        <v>1.193206</v>
      </c>
      <c r="AH15">
        <v>1.178485</v>
      </c>
      <c r="AI15">
        <v>1.1831830000000001</v>
      </c>
      <c r="AJ15">
        <v>1.173773</v>
      </c>
      <c r="AK15">
        <v>1.1690659999999999</v>
      </c>
      <c r="AL15">
        <v>1.162509</v>
      </c>
      <c r="AM15">
        <v>1.1651400000000001</v>
      </c>
      <c r="AN15">
        <v>1.1597869999999999</v>
      </c>
      <c r="AO15">
        <v>1.1562939999999999</v>
      </c>
      <c r="AP15">
        <v>1.153267</v>
      </c>
      <c r="AQ15" s="6">
        <v>-6.0000000000000001E-3</v>
      </c>
    </row>
    <row r="16" spans="1:43" x14ac:dyDescent="0.3">
      <c r="A16" t="s">
        <v>387</v>
      </c>
      <c r="B16" t="s">
        <v>387</v>
      </c>
      <c r="D16" t="s">
        <v>388</v>
      </c>
    </row>
    <row r="17" spans="1:43" x14ac:dyDescent="0.3">
      <c r="A17" t="s">
        <v>118</v>
      </c>
      <c r="B17" t="s">
        <v>118</v>
      </c>
      <c r="C17" t="s">
        <v>389</v>
      </c>
      <c r="D17" t="s">
        <v>390</v>
      </c>
      <c r="E17" t="s">
        <v>364</v>
      </c>
      <c r="I17">
        <v>1.9130000000000001E-2</v>
      </c>
      <c r="J17">
        <v>1.7760999999999999E-2</v>
      </c>
      <c r="K17">
        <v>2.3542E-2</v>
      </c>
      <c r="L17">
        <v>2.3633999999999999E-2</v>
      </c>
      <c r="M17">
        <v>2.521E-2</v>
      </c>
      <c r="N17">
        <v>2.2797000000000001E-2</v>
      </c>
      <c r="O17">
        <v>2.3487999999999998E-2</v>
      </c>
      <c r="P17">
        <v>2.7030999999999999E-2</v>
      </c>
      <c r="Q17">
        <v>2.7369999999999998E-2</v>
      </c>
      <c r="R17">
        <v>2.7716999999999999E-2</v>
      </c>
      <c r="S17">
        <v>2.8112999999999999E-2</v>
      </c>
      <c r="T17">
        <v>2.8532999999999999E-2</v>
      </c>
      <c r="U17">
        <v>2.8995E-2</v>
      </c>
      <c r="V17">
        <v>2.9444000000000001E-2</v>
      </c>
      <c r="W17">
        <v>2.9884999999999998E-2</v>
      </c>
      <c r="X17">
        <v>3.0327E-2</v>
      </c>
      <c r="Y17">
        <v>3.0773999999999999E-2</v>
      </c>
      <c r="Z17">
        <v>3.1223000000000001E-2</v>
      </c>
      <c r="AA17">
        <v>3.1669999999999997E-2</v>
      </c>
      <c r="AB17">
        <v>3.211E-2</v>
      </c>
      <c r="AC17">
        <v>3.2541E-2</v>
      </c>
      <c r="AD17">
        <v>3.2964E-2</v>
      </c>
      <c r="AE17">
        <v>3.3381000000000001E-2</v>
      </c>
      <c r="AF17">
        <v>3.3792000000000003E-2</v>
      </c>
      <c r="AG17">
        <v>3.4199E-2</v>
      </c>
      <c r="AH17">
        <v>3.4603000000000002E-2</v>
      </c>
      <c r="AI17">
        <v>3.5005000000000001E-2</v>
      </c>
      <c r="AJ17">
        <v>3.5406E-2</v>
      </c>
      <c r="AK17">
        <v>3.5806999999999999E-2</v>
      </c>
      <c r="AL17">
        <v>3.6209999999999999E-2</v>
      </c>
      <c r="AM17">
        <v>3.6614000000000001E-2</v>
      </c>
      <c r="AN17">
        <v>3.7019999999999997E-2</v>
      </c>
      <c r="AO17">
        <v>3.7428000000000003E-2</v>
      </c>
      <c r="AP17">
        <v>3.7838999999999998E-2</v>
      </c>
      <c r="AQ17" s="6">
        <v>7.0000000000000001E-3</v>
      </c>
    </row>
    <row r="18" spans="1:43" x14ac:dyDescent="0.3">
      <c r="A18" t="s">
        <v>391</v>
      </c>
      <c r="B18" t="s">
        <v>391</v>
      </c>
      <c r="C18" t="s">
        <v>392</v>
      </c>
      <c r="D18" t="s">
        <v>393</v>
      </c>
      <c r="E18" t="s">
        <v>364</v>
      </c>
      <c r="I18">
        <v>6.6919999999999993E-2</v>
      </c>
      <c r="J18">
        <v>6.6022999999999998E-2</v>
      </c>
      <c r="K18">
        <v>6.6027000000000002E-2</v>
      </c>
      <c r="L18">
        <v>5.9612999999999999E-2</v>
      </c>
      <c r="M18">
        <v>6.4541000000000001E-2</v>
      </c>
      <c r="N18">
        <v>7.2831999999999994E-2</v>
      </c>
      <c r="O18">
        <v>7.2554999999999994E-2</v>
      </c>
      <c r="P18">
        <v>7.1336999999999998E-2</v>
      </c>
      <c r="Q18">
        <v>7.2672E-2</v>
      </c>
      <c r="R18">
        <v>7.4032000000000001E-2</v>
      </c>
      <c r="S18">
        <v>7.5524999999999995E-2</v>
      </c>
      <c r="T18">
        <v>7.7091000000000007E-2</v>
      </c>
      <c r="U18">
        <v>7.8385999999999997E-2</v>
      </c>
      <c r="V18">
        <v>7.9647999999999997E-2</v>
      </c>
      <c r="W18">
        <v>8.0888000000000002E-2</v>
      </c>
      <c r="X18">
        <v>8.2130999999999996E-2</v>
      </c>
      <c r="Y18">
        <v>8.3387000000000003E-2</v>
      </c>
      <c r="Z18">
        <v>8.4649000000000002E-2</v>
      </c>
      <c r="AA18">
        <v>8.5904999999999995E-2</v>
      </c>
      <c r="AB18">
        <v>8.7141999999999997E-2</v>
      </c>
      <c r="AC18">
        <v>8.8354000000000002E-2</v>
      </c>
      <c r="AD18">
        <v>8.9542999999999998E-2</v>
      </c>
      <c r="AE18">
        <v>9.0713000000000002E-2</v>
      </c>
      <c r="AF18">
        <v>9.1868000000000005E-2</v>
      </c>
      <c r="AG18">
        <v>9.3010999999999996E-2</v>
      </c>
      <c r="AH18">
        <v>9.4146999999999995E-2</v>
      </c>
      <c r="AI18">
        <v>9.5277000000000001E-2</v>
      </c>
      <c r="AJ18">
        <v>9.6405000000000005E-2</v>
      </c>
      <c r="AK18">
        <v>9.7532999999999995E-2</v>
      </c>
      <c r="AL18">
        <v>9.8663000000000001E-2</v>
      </c>
      <c r="AM18">
        <v>9.9797999999999998E-2</v>
      </c>
      <c r="AN18">
        <v>0.10094</v>
      </c>
      <c r="AO18">
        <v>0.102088</v>
      </c>
      <c r="AP18">
        <v>0.103243</v>
      </c>
      <c r="AQ18" s="6">
        <v>0</v>
      </c>
    </row>
    <row r="19" spans="1:43" x14ac:dyDescent="0.3">
      <c r="A19" t="s">
        <v>394</v>
      </c>
      <c r="B19" t="s">
        <v>394</v>
      </c>
      <c r="C19" t="s">
        <v>395</v>
      </c>
      <c r="D19" t="s">
        <v>396</v>
      </c>
      <c r="E19" t="s">
        <v>364</v>
      </c>
      <c r="I19">
        <v>6.3E-5</v>
      </c>
      <c r="J19">
        <v>0</v>
      </c>
      <c r="K19">
        <v>9.2999999999999997E-5</v>
      </c>
      <c r="L19">
        <v>6.2000000000000003E-5</v>
      </c>
      <c r="M19">
        <v>6.9999999999999994E-5</v>
      </c>
      <c r="N19">
        <v>5.5999999999999999E-5</v>
      </c>
      <c r="O19">
        <v>6.3E-5</v>
      </c>
      <c r="P19">
        <v>1.08E-4</v>
      </c>
      <c r="Q19">
        <v>8.6000000000000003E-5</v>
      </c>
      <c r="R19">
        <v>2.22E-4</v>
      </c>
      <c r="S19">
        <v>2.1900000000000001E-4</v>
      </c>
      <c r="T19">
        <v>2.1000000000000001E-4</v>
      </c>
      <c r="U19">
        <v>1.8699999999999999E-4</v>
      </c>
      <c r="V19">
        <v>1.6799999999999999E-4</v>
      </c>
      <c r="W19">
        <v>1.63E-4</v>
      </c>
      <c r="X19">
        <v>1.66E-4</v>
      </c>
      <c r="Y19">
        <v>1.5799999999999999E-4</v>
      </c>
      <c r="Z19">
        <v>1.54E-4</v>
      </c>
      <c r="AA19">
        <v>1.4899999999999999E-4</v>
      </c>
      <c r="AB19">
        <v>1.45E-4</v>
      </c>
      <c r="AC19">
        <v>1.3899999999999999E-4</v>
      </c>
      <c r="AD19">
        <v>1.3200000000000001E-4</v>
      </c>
      <c r="AE19">
        <v>1.2999999999999999E-4</v>
      </c>
      <c r="AF19">
        <v>1.2300000000000001E-4</v>
      </c>
      <c r="AG19">
        <v>1.1400000000000001E-4</v>
      </c>
      <c r="AH19">
        <v>1.1E-4</v>
      </c>
      <c r="AI19">
        <v>1.01E-4</v>
      </c>
      <c r="AJ19">
        <v>9.3999999999999994E-5</v>
      </c>
      <c r="AK19">
        <v>9.2E-5</v>
      </c>
      <c r="AL19">
        <v>8.5000000000000006E-5</v>
      </c>
      <c r="AM19">
        <v>7.2999999999999999E-5</v>
      </c>
      <c r="AN19">
        <v>7.2999999999999999E-5</v>
      </c>
      <c r="AO19">
        <v>7.2000000000000002E-5</v>
      </c>
      <c r="AP19">
        <v>6.7999999999999999E-5</v>
      </c>
      <c r="AQ19" t="s">
        <v>397</v>
      </c>
    </row>
    <row r="20" spans="1:43" x14ac:dyDescent="0.3">
      <c r="A20" t="s">
        <v>365</v>
      </c>
      <c r="B20" t="s">
        <v>365</v>
      </c>
      <c r="C20" t="s">
        <v>398</v>
      </c>
      <c r="D20" t="s">
        <v>399</v>
      </c>
      <c r="E20" t="s">
        <v>364</v>
      </c>
      <c r="I20">
        <v>3.8406000000000003E-2</v>
      </c>
      <c r="J20">
        <v>3.8477999999999998E-2</v>
      </c>
      <c r="K20">
        <v>3.7568999999999998E-2</v>
      </c>
      <c r="L20">
        <v>3.8855000000000001E-2</v>
      </c>
      <c r="M20">
        <v>3.4474999999999999E-2</v>
      </c>
      <c r="N20">
        <v>3.6250999999999999E-2</v>
      </c>
      <c r="O20">
        <v>3.6194999999999998E-2</v>
      </c>
      <c r="P20">
        <v>3.6368999999999999E-2</v>
      </c>
      <c r="Q20">
        <v>3.6656000000000001E-2</v>
      </c>
      <c r="R20">
        <v>3.7316000000000002E-2</v>
      </c>
      <c r="S20">
        <v>3.7782000000000003E-2</v>
      </c>
      <c r="T20">
        <v>3.8119E-2</v>
      </c>
      <c r="U20">
        <v>3.8200999999999999E-2</v>
      </c>
      <c r="V20">
        <v>3.8265E-2</v>
      </c>
      <c r="W20">
        <v>3.8281000000000003E-2</v>
      </c>
      <c r="X20">
        <v>3.8307000000000001E-2</v>
      </c>
      <c r="Y20">
        <v>3.8261999999999997E-2</v>
      </c>
      <c r="Z20">
        <v>3.8191999999999997E-2</v>
      </c>
      <c r="AA20">
        <v>3.8087999999999997E-2</v>
      </c>
      <c r="AB20">
        <v>3.7998999999999998E-2</v>
      </c>
      <c r="AC20">
        <v>3.7908999999999998E-2</v>
      </c>
      <c r="AD20">
        <v>3.7829000000000002E-2</v>
      </c>
      <c r="AE20">
        <v>3.7748999999999998E-2</v>
      </c>
      <c r="AF20">
        <v>3.7650000000000003E-2</v>
      </c>
      <c r="AG20">
        <v>3.7543E-2</v>
      </c>
      <c r="AH20">
        <v>3.7454000000000001E-2</v>
      </c>
      <c r="AI20">
        <v>3.7347999999999999E-2</v>
      </c>
      <c r="AJ20">
        <v>3.7242999999999998E-2</v>
      </c>
      <c r="AK20">
        <v>3.7170000000000002E-2</v>
      </c>
      <c r="AL20">
        <v>3.7081999999999997E-2</v>
      </c>
      <c r="AM20">
        <v>3.6950999999999998E-2</v>
      </c>
      <c r="AN20">
        <v>3.6859999999999997E-2</v>
      </c>
      <c r="AO20">
        <v>3.6814E-2</v>
      </c>
      <c r="AP20">
        <v>3.6766E-2</v>
      </c>
      <c r="AQ20" s="6">
        <v>1E-3</v>
      </c>
    </row>
    <row r="21" spans="1:43" x14ac:dyDescent="0.3">
      <c r="A21" t="s">
        <v>400</v>
      </c>
      <c r="B21" t="s">
        <v>400</v>
      </c>
      <c r="C21" t="s">
        <v>401</v>
      </c>
      <c r="D21" t="s">
        <v>402</v>
      </c>
      <c r="E21" t="s">
        <v>364</v>
      </c>
      <c r="I21">
        <v>6.0000000000000002E-6</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t="s">
        <v>397</v>
      </c>
    </row>
    <row r="22" spans="1:43" x14ac:dyDescent="0.3">
      <c r="A22" t="s">
        <v>368</v>
      </c>
      <c r="B22" t="s">
        <v>368</v>
      </c>
      <c r="C22" t="s">
        <v>403</v>
      </c>
      <c r="D22" t="s">
        <v>404</v>
      </c>
      <c r="E22" t="s">
        <v>364</v>
      </c>
      <c r="I22">
        <v>0.124526</v>
      </c>
      <c r="J22">
        <v>0.12226099999999999</v>
      </c>
      <c r="K22">
        <v>0.12723000000000001</v>
      </c>
      <c r="L22">
        <v>0.12216399999999999</v>
      </c>
      <c r="M22">
        <v>0.124296</v>
      </c>
      <c r="N22">
        <v>0.131936</v>
      </c>
      <c r="O22">
        <v>0.1323</v>
      </c>
      <c r="P22">
        <v>0.13484499999999999</v>
      </c>
      <c r="Q22">
        <v>0.13678399999999999</v>
      </c>
      <c r="R22">
        <v>0.13928699999999999</v>
      </c>
      <c r="S22">
        <v>0.14163799999999999</v>
      </c>
      <c r="T22">
        <v>0.143953</v>
      </c>
      <c r="U22">
        <v>0.14576900000000001</v>
      </c>
      <c r="V22">
        <v>0.14752399999999999</v>
      </c>
      <c r="W22">
        <v>0.14921599999999999</v>
      </c>
      <c r="X22">
        <v>0.15093200000000001</v>
      </c>
      <c r="Y22">
        <v>0.152582</v>
      </c>
      <c r="Z22">
        <v>0.15421799999999999</v>
      </c>
      <c r="AA22">
        <v>0.15581200000000001</v>
      </c>
      <c r="AB22">
        <v>0.15739600000000001</v>
      </c>
      <c r="AC22">
        <v>0.158943</v>
      </c>
      <c r="AD22">
        <v>0.160469</v>
      </c>
      <c r="AE22">
        <v>0.16197300000000001</v>
      </c>
      <c r="AF22">
        <v>0.16343199999999999</v>
      </c>
      <c r="AG22">
        <v>0.16486799999999999</v>
      </c>
      <c r="AH22">
        <v>0.16631399999999999</v>
      </c>
      <c r="AI22">
        <v>0.16773199999999999</v>
      </c>
      <c r="AJ22">
        <v>0.16914799999999999</v>
      </c>
      <c r="AK22">
        <v>0.170601</v>
      </c>
      <c r="AL22">
        <v>0.172039</v>
      </c>
      <c r="AM22">
        <v>0.17343600000000001</v>
      </c>
      <c r="AN22">
        <v>0.17489299999999999</v>
      </c>
      <c r="AO22">
        <v>0.176402</v>
      </c>
      <c r="AP22">
        <v>0.17791599999999999</v>
      </c>
      <c r="AQ22" s="6">
        <v>2E-3</v>
      </c>
    </row>
    <row r="23" spans="1:43" x14ac:dyDescent="0.3">
      <c r="A23" t="s">
        <v>98</v>
      </c>
      <c r="B23" t="s">
        <v>98</v>
      </c>
      <c r="C23" t="s">
        <v>405</v>
      </c>
      <c r="D23" t="s">
        <v>406</v>
      </c>
      <c r="E23" t="s">
        <v>364</v>
      </c>
      <c r="I23">
        <v>0.35290100000000002</v>
      </c>
      <c r="J23">
        <v>0.36779499999999998</v>
      </c>
      <c r="K23">
        <v>0.40032899999999999</v>
      </c>
      <c r="L23">
        <v>0.35959099999999999</v>
      </c>
      <c r="M23">
        <v>0.35849799999999998</v>
      </c>
      <c r="N23">
        <v>0.35094700000000001</v>
      </c>
      <c r="O23">
        <v>0.35922399999999999</v>
      </c>
      <c r="P23">
        <v>0.38778099999999999</v>
      </c>
      <c r="Q23">
        <v>0.37968499999999999</v>
      </c>
      <c r="R23">
        <v>0.37125200000000003</v>
      </c>
      <c r="S23">
        <v>0.37168699999999999</v>
      </c>
      <c r="T23">
        <v>0.37141299999999999</v>
      </c>
      <c r="U23">
        <v>0.37529800000000002</v>
      </c>
      <c r="V23">
        <v>0.37879299999999999</v>
      </c>
      <c r="W23">
        <v>0.38053599999999999</v>
      </c>
      <c r="X23">
        <v>0.38003300000000001</v>
      </c>
      <c r="Y23">
        <v>0.37893500000000002</v>
      </c>
      <c r="Z23">
        <v>0.37837300000000001</v>
      </c>
      <c r="AA23">
        <v>0.37863999999999998</v>
      </c>
      <c r="AB23">
        <v>0.37998599999999999</v>
      </c>
      <c r="AC23">
        <v>0.38183800000000001</v>
      </c>
      <c r="AD23">
        <v>0.38366699999999998</v>
      </c>
      <c r="AE23">
        <v>0.38520399999999999</v>
      </c>
      <c r="AF23">
        <v>0.38630500000000001</v>
      </c>
      <c r="AG23">
        <v>0.38694000000000001</v>
      </c>
      <c r="AH23">
        <v>0.387376</v>
      </c>
      <c r="AI23">
        <v>0.38785900000000001</v>
      </c>
      <c r="AJ23">
        <v>0.38865699999999997</v>
      </c>
      <c r="AK23">
        <v>0.38949499999999998</v>
      </c>
      <c r="AL23">
        <v>0.39019300000000001</v>
      </c>
      <c r="AM23">
        <v>0.39106099999999999</v>
      </c>
      <c r="AN23">
        <v>0.392289</v>
      </c>
      <c r="AO23">
        <v>0.39360200000000001</v>
      </c>
      <c r="AP23">
        <v>0.39490500000000001</v>
      </c>
      <c r="AQ23" s="6">
        <v>1.0999999999999999E-2</v>
      </c>
    </row>
    <row r="24" spans="1:43" x14ac:dyDescent="0.3">
      <c r="A24" t="s">
        <v>407</v>
      </c>
      <c r="B24" t="s">
        <v>407</v>
      </c>
      <c r="C24" t="s">
        <v>408</v>
      </c>
      <c r="D24" t="s">
        <v>409</v>
      </c>
      <c r="E24" t="s">
        <v>364</v>
      </c>
      <c r="I24">
        <v>5.9779999999999998E-3</v>
      </c>
      <c r="J24">
        <v>5.3010000000000002E-3</v>
      </c>
      <c r="K24">
        <v>5.6959999999999997E-3</v>
      </c>
      <c r="L24">
        <v>6.3610000000000003E-3</v>
      </c>
      <c r="M24">
        <v>6.1890000000000001E-3</v>
      </c>
      <c r="N24">
        <v>7.5570000000000003E-3</v>
      </c>
      <c r="O24">
        <v>9.0609999999999996E-3</v>
      </c>
      <c r="P24">
        <v>6.0899999999999999E-3</v>
      </c>
      <c r="Q24">
        <v>6.038E-3</v>
      </c>
      <c r="R24">
        <v>6.0480000000000004E-3</v>
      </c>
      <c r="S24">
        <v>6.1040000000000001E-3</v>
      </c>
      <c r="T24">
        <v>6.136E-3</v>
      </c>
      <c r="U24">
        <v>6.1770000000000002E-3</v>
      </c>
      <c r="V24">
        <v>6.1960000000000001E-3</v>
      </c>
      <c r="W24">
        <v>6.2170000000000003E-3</v>
      </c>
      <c r="X24">
        <v>6.241E-3</v>
      </c>
      <c r="Y24">
        <v>6.2519999999999997E-3</v>
      </c>
      <c r="Z24">
        <v>6.2639999999999996E-3</v>
      </c>
      <c r="AA24">
        <v>6.2709999999999997E-3</v>
      </c>
      <c r="AB24">
        <v>6.254E-3</v>
      </c>
      <c r="AC24">
        <v>6.2480000000000001E-3</v>
      </c>
      <c r="AD24">
        <v>6.2500000000000003E-3</v>
      </c>
      <c r="AE24">
        <v>6.2579999999999997E-3</v>
      </c>
      <c r="AF24">
        <v>6.267E-3</v>
      </c>
      <c r="AG24">
        <v>6.2750000000000002E-3</v>
      </c>
      <c r="AH24">
        <v>6.2820000000000003E-3</v>
      </c>
      <c r="AI24">
        <v>6.2740000000000001E-3</v>
      </c>
      <c r="AJ24">
        <v>6.2760000000000003E-3</v>
      </c>
      <c r="AK24">
        <v>6.2740000000000001E-3</v>
      </c>
      <c r="AL24">
        <v>6.2589999999999998E-3</v>
      </c>
      <c r="AM24">
        <v>6.2509999999999996E-3</v>
      </c>
      <c r="AN24">
        <v>6.2550000000000001E-3</v>
      </c>
      <c r="AO24">
        <v>6.2630000000000003E-3</v>
      </c>
      <c r="AP24">
        <v>6.2599999999999999E-3</v>
      </c>
      <c r="AQ24" s="6">
        <v>0</v>
      </c>
    </row>
    <row r="25" spans="1:43" x14ac:dyDescent="0.3">
      <c r="A25" t="s">
        <v>373</v>
      </c>
      <c r="B25" t="s">
        <v>373</v>
      </c>
      <c r="C25" t="s">
        <v>410</v>
      </c>
      <c r="D25" t="s">
        <v>411</v>
      </c>
      <c r="E25" t="s">
        <v>364</v>
      </c>
      <c r="I25">
        <v>3.0356999999999999E-2</v>
      </c>
      <c r="J25">
        <v>3.0356999999999999E-2</v>
      </c>
      <c r="K25">
        <v>3.0058999999999999E-2</v>
      </c>
      <c r="L25">
        <v>2.8903999999999999E-2</v>
      </c>
      <c r="M25">
        <v>2.6765000000000001E-2</v>
      </c>
      <c r="N25">
        <v>2.6683999999999999E-2</v>
      </c>
      <c r="O25">
        <v>2.6683999999999999E-2</v>
      </c>
      <c r="P25">
        <v>2.6010999999999999E-2</v>
      </c>
      <c r="Q25">
        <v>2.6010999999999999E-2</v>
      </c>
      <c r="R25">
        <v>2.6010999999999999E-2</v>
      </c>
      <c r="S25">
        <v>2.6010999999999999E-2</v>
      </c>
      <c r="T25">
        <v>2.6010999999999999E-2</v>
      </c>
      <c r="U25">
        <v>2.6010999999999999E-2</v>
      </c>
      <c r="V25">
        <v>2.6010999999999999E-2</v>
      </c>
      <c r="W25">
        <v>2.6010999999999999E-2</v>
      </c>
      <c r="X25">
        <v>2.6010999999999999E-2</v>
      </c>
      <c r="Y25">
        <v>2.6010999999999999E-2</v>
      </c>
      <c r="Z25">
        <v>2.6010999999999999E-2</v>
      </c>
      <c r="AA25">
        <v>2.6010999999999999E-2</v>
      </c>
      <c r="AB25">
        <v>2.6010999999999999E-2</v>
      </c>
      <c r="AC25">
        <v>2.6010999999999999E-2</v>
      </c>
      <c r="AD25">
        <v>2.6010999999999999E-2</v>
      </c>
      <c r="AE25">
        <v>2.6010999999999999E-2</v>
      </c>
      <c r="AF25">
        <v>2.6010999999999999E-2</v>
      </c>
      <c r="AG25">
        <v>2.6010999999999999E-2</v>
      </c>
      <c r="AH25">
        <v>2.6010999999999999E-2</v>
      </c>
      <c r="AI25">
        <v>2.6010999999999999E-2</v>
      </c>
      <c r="AJ25">
        <v>2.6010999999999999E-2</v>
      </c>
      <c r="AK25">
        <v>2.6010999999999999E-2</v>
      </c>
      <c r="AL25">
        <v>2.6010999999999999E-2</v>
      </c>
      <c r="AM25">
        <v>2.6010999999999999E-2</v>
      </c>
      <c r="AN25">
        <v>2.6010999999999999E-2</v>
      </c>
      <c r="AO25">
        <v>2.6010999999999999E-2</v>
      </c>
      <c r="AP25">
        <v>2.6010999999999999E-2</v>
      </c>
      <c r="AQ25" s="6">
        <v>0</v>
      </c>
    </row>
    <row r="26" spans="1:43" x14ac:dyDescent="0.3">
      <c r="A26" t="s">
        <v>376</v>
      </c>
      <c r="B26" t="s">
        <v>176</v>
      </c>
      <c r="C26" t="s">
        <v>412</v>
      </c>
      <c r="D26" t="s">
        <v>413</v>
      </c>
      <c r="E26" t="s">
        <v>364</v>
      </c>
      <c r="I26">
        <v>0.57441699999999996</v>
      </c>
      <c r="J26">
        <v>0.57111699999999999</v>
      </c>
      <c r="K26">
        <v>0.55896599999999996</v>
      </c>
      <c r="L26">
        <v>0.52147100000000002</v>
      </c>
      <c r="M26">
        <v>0.53114600000000001</v>
      </c>
      <c r="N26">
        <v>0.55647199999999997</v>
      </c>
      <c r="O26">
        <v>0.54198999999999997</v>
      </c>
      <c r="P26">
        <v>0.56479699999999999</v>
      </c>
      <c r="Q26">
        <v>0.56302600000000003</v>
      </c>
      <c r="R26">
        <v>0.55407600000000001</v>
      </c>
      <c r="S26">
        <v>0.560303</v>
      </c>
      <c r="T26">
        <v>0.56514699999999995</v>
      </c>
      <c r="U26">
        <v>0.57289400000000001</v>
      </c>
      <c r="V26">
        <v>0.57707200000000003</v>
      </c>
      <c r="W26">
        <v>0.58035899999999996</v>
      </c>
      <c r="X26">
        <v>0.58464300000000002</v>
      </c>
      <c r="Y26">
        <v>0.59011000000000002</v>
      </c>
      <c r="Z26">
        <v>0.59710099999999999</v>
      </c>
      <c r="AA26">
        <v>0.60471299999999995</v>
      </c>
      <c r="AB26">
        <v>0.61311300000000002</v>
      </c>
      <c r="AC26">
        <v>0.62163100000000004</v>
      </c>
      <c r="AD26">
        <v>0.63072700000000004</v>
      </c>
      <c r="AE26">
        <v>0.64158800000000005</v>
      </c>
      <c r="AF26">
        <v>0.65191399999999999</v>
      </c>
      <c r="AG26">
        <v>0.66174299999999997</v>
      </c>
      <c r="AH26">
        <v>0.67124200000000001</v>
      </c>
      <c r="AI26">
        <v>0.67990700000000004</v>
      </c>
      <c r="AJ26">
        <v>0.68956899999999999</v>
      </c>
      <c r="AK26">
        <v>0.70053200000000004</v>
      </c>
      <c r="AL26">
        <v>0.71157400000000004</v>
      </c>
      <c r="AM26">
        <v>0.72277899999999995</v>
      </c>
      <c r="AN26">
        <v>0.73421700000000001</v>
      </c>
      <c r="AO26">
        <v>0.746888</v>
      </c>
      <c r="AP26">
        <v>0.75903900000000002</v>
      </c>
      <c r="AQ26" s="6">
        <v>3.0000000000000001E-3</v>
      </c>
    </row>
    <row r="27" spans="1:43" x14ac:dyDescent="0.3">
      <c r="A27" t="s">
        <v>379</v>
      </c>
      <c r="B27" t="s">
        <v>379</v>
      </c>
      <c r="C27" t="s">
        <v>414</v>
      </c>
      <c r="D27" t="s">
        <v>415</v>
      </c>
      <c r="E27" t="s">
        <v>364</v>
      </c>
      <c r="I27">
        <v>1.088179</v>
      </c>
      <c r="J27">
        <v>1.096832</v>
      </c>
      <c r="K27">
        <v>1.1222799999999999</v>
      </c>
      <c r="L27">
        <v>1.0384910000000001</v>
      </c>
      <c r="M27">
        <v>1.046894</v>
      </c>
      <c r="N27">
        <v>1.0735969999999999</v>
      </c>
      <c r="O27">
        <v>1.069259</v>
      </c>
      <c r="P27">
        <v>1.119524</v>
      </c>
      <c r="Q27">
        <v>1.1115440000000001</v>
      </c>
      <c r="R27">
        <v>1.0966739999999999</v>
      </c>
      <c r="S27">
        <v>1.1057429999999999</v>
      </c>
      <c r="T27">
        <v>1.1126609999999999</v>
      </c>
      <c r="U27">
        <v>1.1261490000000001</v>
      </c>
      <c r="V27">
        <v>1.135597</v>
      </c>
      <c r="W27">
        <v>1.1423380000000001</v>
      </c>
      <c r="X27">
        <v>1.147859</v>
      </c>
      <c r="Y27">
        <v>1.1538889999999999</v>
      </c>
      <c r="Z27">
        <v>1.1619660000000001</v>
      </c>
      <c r="AA27">
        <v>1.1714469999999999</v>
      </c>
      <c r="AB27">
        <v>1.18276</v>
      </c>
      <c r="AC27">
        <v>1.194672</v>
      </c>
      <c r="AD27">
        <v>1.2071240000000001</v>
      </c>
      <c r="AE27">
        <v>1.221034</v>
      </c>
      <c r="AF27">
        <v>1.23393</v>
      </c>
      <c r="AG27">
        <v>1.2458370000000001</v>
      </c>
      <c r="AH27">
        <v>1.257225</v>
      </c>
      <c r="AI27">
        <v>1.2677830000000001</v>
      </c>
      <c r="AJ27">
        <v>1.2796609999999999</v>
      </c>
      <c r="AK27">
        <v>1.292913</v>
      </c>
      <c r="AL27">
        <v>1.3060750000000001</v>
      </c>
      <c r="AM27">
        <v>1.3195380000000001</v>
      </c>
      <c r="AN27">
        <v>1.3336650000000001</v>
      </c>
      <c r="AO27">
        <v>1.3491660000000001</v>
      </c>
      <c r="AP27">
        <v>1.364131</v>
      </c>
      <c r="AQ27" s="6">
        <v>6.0000000000000001E-3</v>
      </c>
    </row>
    <row r="28" spans="1:43" x14ac:dyDescent="0.3">
      <c r="A28" t="s">
        <v>382</v>
      </c>
      <c r="B28" t="s">
        <v>382</v>
      </c>
      <c r="C28" t="s">
        <v>416</v>
      </c>
      <c r="D28" t="s">
        <v>417</v>
      </c>
      <c r="E28" t="s">
        <v>364</v>
      </c>
      <c r="I28">
        <v>0.86982000000000004</v>
      </c>
      <c r="J28">
        <v>0.88661000000000001</v>
      </c>
      <c r="K28">
        <v>0.83051799999999998</v>
      </c>
      <c r="L28">
        <v>0.73861500000000002</v>
      </c>
      <c r="M28">
        <v>0.71264899999999998</v>
      </c>
      <c r="N28">
        <v>0.75207900000000005</v>
      </c>
      <c r="O28">
        <v>0.76952100000000001</v>
      </c>
      <c r="P28">
        <v>0.267988</v>
      </c>
      <c r="Q28">
        <v>0.243116</v>
      </c>
      <c r="R28">
        <v>0.22123200000000001</v>
      </c>
      <c r="S28">
        <v>0.20286100000000001</v>
      </c>
      <c r="T28">
        <v>0.21085599999999999</v>
      </c>
      <c r="U28">
        <v>0.21711900000000001</v>
      </c>
      <c r="V28">
        <v>0.19589999999999999</v>
      </c>
      <c r="W28">
        <v>0.17293600000000001</v>
      </c>
      <c r="X28">
        <v>0.181732</v>
      </c>
      <c r="Y28">
        <v>0.16133700000000001</v>
      </c>
      <c r="Z28">
        <v>0.16824600000000001</v>
      </c>
      <c r="AA28">
        <v>0.168794</v>
      </c>
      <c r="AB28">
        <v>0.15987799999999999</v>
      </c>
      <c r="AC28">
        <v>0.15416099999999999</v>
      </c>
      <c r="AD28">
        <v>0.15498899999999999</v>
      </c>
      <c r="AE28">
        <v>0.14838499999999999</v>
      </c>
      <c r="AF28">
        <v>0.14510999999999999</v>
      </c>
      <c r="AG28">
        <v>0.148393</v>
      </c>
      <c r="AH28">
        <v>0.13226099999999999</v>
      </c>
      <c r="AI28">
        <v>0.146701</v>
      </c>
      <c r="AJ28">
        <v>0.13858699999999999</v>
      </c>
      <c r="AK28">
        <v>0.136602</v>
      </c>
      <c r="AL28">
        <v>0.13122400000000001</v>
      </c>
      <c r="AM28">
        <v>0.14064299999999999</v>
      </c>
      <c r="AN28">
        <v>0.137017</v>
      </c>
      <c r="AO28">
        <v>0.13505500000000001</v>
      </c>
      <c r="AP28">
        <v>0.13359199999999999</v>
      </c>
      <c r="AQ28" s="6">
        <v>1E-3</v>
      </c>
    </row>
    <row r="29" spans="1:43" x14ac:dyDescent="0.3">
      <c r="A29" t="s">
        <v>169</v>
      </c>
      <c r="B29" t="s">
        <v>169</v>
      </c>
      <c r="C29" t="s">
        <v>418</v>
      </c>
      <c r="D29" t="s">
        <v>419</v>
      </c>
      <c r="E29" t="s">
        <v>364</v>
      </c>
      <c r="I29">
        <v>1.958</v>
      </c>
      <c r="J29">
        <v>1.9834419999999999</v>
      </c>
      <c r="K29">
        <v>1.952798</v>
      </c>
      <c r="L29">
        <v>1.7771060000000001</v>
      </c>
      <c r="M29">
        <v>1.7595430000000001</v>
      </c>
      <c r="N29">
        <v>1.8256760000000001</v>
      </c>
      <c r="O29">
        <v>1.8387800000000001</v>
      </c>
      <c r="P29">
        <v>1.3875120000000001</v>
      </c>
      <c r="Q29">
        <v>1.35466</v>
      </c>
      <c r="R29">
        <v>1.317906</v>
      </c>
      <c r="S29">
        <v>1.3086040000000001</v>
      </c>
      <c r="T29">
        <v>1.3235170000000001</v>
      </c>
      <c r="U29">
        <v>1.343267</v>
      </c>
      <c r="V29">
        <v>1.3314969999999999</v>
      </c>
      <c r="W29">
        <v>1.315275</v>
      </c>
      <c r="X29">
        <v>1.3295920000000001</v>
      </c>
      <c r="Y29">
        <v>1.315226</v>
      </c>
      <c r="Z29">
        <v>1.330212</v>
      </c>
      <c r="AA29">
        <v>1.340241</v>
      </c>
      <c r="AB29">
        <v>1.3426389999999999</v>
      </c>
      <c r="AC29">
        <v>1.3488329999999999</v>
      </c>
      <c r="AD29">
        <v>1.3621129999999999</v>
      </c>
      <c r="AE29">
        <v>1.3694189999999999</v>
      </c>
      <c r="AF29">
        <v>1.37904</v>
      </c>
      <c r="AG29">
        <v>1.3942289999999999</v>
      </c>
      <c r="AH29">
        <v>1.3894850000000001</v>
      </c>
      <c r="AI29">
        <v>1.4144840000000001</v>
      </c>
      <c r="AJ29">
        <v>1.418248</v>
      </c>
      <c r="AK29">
        <v>1.4295150000000001</v>
      </c>
      <c r="AL29">
        <v>1.4372990000000001</v>
      </c>
      <c r="AM29">
        <v>1.460181</v>
      </c>
      <c r="AN29">
        <v>1.470682</v>
      </c>
      <c r="AO29">
        <v>1.484221</v>
      </c>
      <c r="AP29">
        <v>1.4977229999999999</v>
      </c>
      <c r="AQ29" s="6">
        <v>4.0000000000000001E-3</v>
      </c>
    </row>
    <row r="30" spans="1:43" x14ac:dyDescent="0.3">
      <c r="A30" t="s">
        <v>420</v>
      </c>
      <c r="B30" t="s">
        <v>420</v>
      </c>
      <c r="D30" t="s">
        <v>421</v>
      </c>
    </row>
    <row r="31" spans="1:43" x14ac:dyDescent="0.3">
      <c r="A31" t="s">
        <v>422</v>
      </c>
      <c r="B31" t="s">
        <v>423</v>
      </c>
      <c r="C31" t="s">
        <v>424</v>
      </c>
      <c r="D31" t="s">
        <v>425</v>
      </c>
      <c r="E31" t="s">
        <v>364</v>
      </c>
      <c r="I31">
        <v>3.6222999999999998E-2</v>
      </c>
      <c r="J31">
        <v>4.2604999999999997E-2</v>
      </c>
      <c r="K31">
        <v>4.1168999999999997E-2</v>
      </c>
      <c r="L31">
        <v>3.7649000000000002E-2</v>
      </c>
      <c r="M31">
        <v>2.0271000000000001E-2</v>
      </c>
      <c r="N31">
        <v>1.5486E-2</v>
      </c>
      <c r="O31">
        <v>1.5225000000000001E-2</v>
      </c>
      <c r="P31">
        <v>1.0076E-2</v>
      </c>
      <c r="Q31">
        <v>8.0569999999999999E-3</v>
      </c>
      <c r="R31">
        <v>1.127E-3</v>
      </c>
      <c r="S31">
        <v>1.134E-3</v>
      </c>
      <c r="T31">
        <v>1.145E-3</v>
      </c>
      <c r="U31">
        <v>1.16E-3</v>
      </c>
      <c r="V31">
        <v>1.173E-3</v>
      </c>
      <c r="W31">
        <v>1.1850000000000001E-3</v>
      </c>
      <c r="X31">
        <v>1.1969999999999999E-3</v>
      </c>
      <c r="Y31">
        <v>1.1999999999999999E-3</v>
      </c>
      <c r="Z31">
        <v>1.206E-3</v>
      </c>
      <c r="AA31">
        <v>1.2130000000000001E-3</v>
      </c>
      <c r="AB31">
        <v>1.2130000000000001E-3</v>
      </c>
      <c r="AC31">
        <v>1.219E-3</v>
      </c>
      <c r="AD31">
        <v>1.2229999999999999E-3</v>
      </c>
      <c r="AE31">
        <v>1.2199999999999999E-3</v>
      </c>
      <c r="AF31">
        <v>1.225E-3</v>
      </c>
      <c r="AG31">
        <v>1.2279999999999999E-3</v>
      </c>
      <c r="AH31">
        <v>1.219E-3</v>
      </c>
      <c r="AI31">
        <v>1.2210000000000001E-3</v>
      </c>
      <c r="AJ31">
        <v>1.224E-3</v>
      </c>
      <c r="AK31">
        <v>1.2110000000000001E-3</v>
      </c>
      <c r="AL31">
        <v>1.2179999999999999E-3</v>
      </c>
      <c r="AM31">
        <v>1.2229999999999999E-3</v>
      </c>
      <c r="AN31">
        <v>1.2019999999999999E-3</v>
      </c>
      <c r="AO31">
        <v>1.209E-3</v>
      </c>
      <c r="AP31">
        <v>1.2160000000000001E-3</v>
      </c>
      <c r="AQ31" s="6">
        <v>-1.4999999999999999E-2</v>
      </c>
    </row>
    <row r="32" spans="1:43" x14ac:dyDescent="0.3">
      <c r="A32" t="s">
        <v>391</v>
      </c>
      <c r="B32" t="s">
        <v>391</v>
      </c>
      <c r="C32" t="s">
        <v>426</v>
      </c>
      <c r="D32" t="s">
        <v>427</v>
      </c>
      <c r="E32" t="s">
        <v>364</v>
      </c>
      <c r="I32">
        <v>3.9670999999999998E-2</v>
      </c>
      <c r="J32">
        <v>3.9092000000000002E-2</v>
      </c>
      <c r="K32">
        <v>4.0122999999999999E-2</v>
      </c>
      <c r="L32">
        <v>3.6609999999999997E-2</v>
      </c>
      <c r="M32">
        <v>3.9254999999999998E-2</v>
      </c>
      <c r="N32">
        <v>4.5364000000000002E-2</v>
      </c>
      <c r="O32">
        <v>4.5204000000000001E-2</v>
      </c>
      <c r="P32">
        <v>4.3221999999999997E-2</v>
      </c>
      <c r="Q32">
        <v>4.3098999999999998E-2</v>
      </c>
      <c r="R32">
        <v>4.3561999999999997E-2</v>
      </c>
      <c r="S32">
        <v>4.4156000000000001E-2</v>
      </c>
      <c r="T32">
        <v>4.4953E-2</v>
      </c>
      <c r="U32">
        <v>4.5842000000000001E-2</v>
      </c>
      <c r="V32">
        <v>4.6554999999999999E-2</v>
      </c>
      <c r="W32">
        <v>4.7102999999999999E-2</v>
      </c>
      <c r="X32">
        <v>4.7599000000000002E-2</v>
      </c>
      <c r="Y32">
        <v>4.7931000000000001E-2</v>
      </c>
      <c r="Z32">
        <v>4.8217999999999997E-2</v>
      </c>
      <c r="AA32">
        <v>4.8633999999999997E-2</v>
      </c>
      <c r="AB32">
        <v>4.9113999999999998E-2</v>
      </c>
      <c r="AC32">
        <v>4.9405999999999999E-2</v>
      </c>
      <c r="AD32">
        <v>4.9699E-2</v>
      </c>
      <c r="AE32">
        <v>5.0007999999999997E-2</v>
      </c>
      <c r="AF32">
        <v>5.0328999999999999E-2</v>
      </c>
      <c r="AG32">
        <v>5.0562000000000003E-2</v>
      </c>
      <c r="AH32">
        <v>5.0839000000000002E-2</v>
      </c>
      <c r="AI32">
        <v>5.1042999999999998E-2</v>
      </c>
      <c r="AJ32">
        <v>5.1251999999999999E-2</v>
      </c>
      <c r="AK32">
        <v>5.1637000000000002E-2</v>
      </c>
      <c r="AL32">
        <v>5.2066000000000001E-2</v>
      </c>
      <c r="AM32">
        <v>5.2512999999999997E-2</v>
      </c>
      <c r="AN32">
        <v>5.3001E-2</v>
      </c>
      <c r="AO32">
        <v>5.3566999999999997E-2</v>
      </c>
      <c r="AP32">
        <v>5.4121000000000002E-2</v>
      </c>
      <c r="AQ32" s="6">
        <v>7.0000000000000001E-3</v>
      </c>
    </row>
    <row r="33" spans="1:43" x14ac:dyDescent="0.3">
      <c r="A33" t="s">
        <v>365</v>
      </c>
      <c r="B33" t="s">
        <v>365</v>
      </c>
      <c r="C33" t="s">
        <v>428</v>
      </c>
      <c r="D33" t="s">
        <v>429</v>
      </c>
      <c r="E33" t="s">
        <v>364</v>
      </c>
      <c r="I33">
        <v>0.13319300000000001</v>
      </c>
      <c r="J33">
        <v>0.13950399999999999</v>
      </c>
      <c r="K33">
        <v>0.131635</v>
      </c>
      <c r="L33">
        <v>0.110994</v>
      </c>
      <c r="M33">
        <v>0.11297699999999999</v>
      </c>
      <c r="N33">
        <v>0.117336</v>
      </c>
      <c r="O33">
        <v>0.116919</v>
      </c>
      <c r="P33">
        <v>0.124568</v>
      </c>
      <c r="Q33">
        <v>0.12823999999999999</v>
      </c>
      <c r="R33">
        <v>0.12825</v>
      </c>
      <c r="S33">
        <v>0.128696</v>
      </c>
      <c r="T33">
        <v>0.13009200000000001</v>
      </c>
      <c r="U33">
        <v>0.13172800000000001</v>
      </c>
      <c r="V33">
        <v>0.13281499999999999</v>
      </c>
      <c r="W33">
        <v>0.133858</v>
      </c>
      <c r="X33">
        <v>0.134213</v>
      </c>
      <c r="Y33">
        <v>0.134772</v>
      </c>
      <c r="Z33">
        <v>0.135458</v>
      </c>
      <c r="AA33">
        <v>0.13642000000000001</v>
      </c>
      <c r="AB33">
        <v>0.137381</v>
      </c>
      <c r="AC33">
        <v>0.13810800000000001</v>
      </c>
      <c r="AD33">
        <v>0.138844</v>
      </c>
      <c r="AE33">
        <v>0.13932900000000001</v>
      </c>
      <c r="AF33">
        <v>0.14008999999999999</v>
      </c>
      <c r="AG33">
        <v>0.14058499999999999</v>
      </c>
      <c r="AH33">
        <v>0.14086899999999999</v>
      </c>
      <c r="AI33">
        <v>0.14133699999999999</v>
      </c>
      <c r="AJ33">
        <v>0.14179</v>
      </c>
      <c r="AK33">
        <v>0.14227300000000001</v>
      </c>
      <c r="AL33">
        <v>0.14319399999999999</v>
      </c>
      <c r="AM33">
        <v>0.14418900000000001</v>
      </c>
      <c r="AN33">
        <v>0.14469299999999999</v>
      </c>
      <c r="AO33">
        <v>0.14596100000000001</v>
      </c>
      <c r="AP33">
        <v>0.14715900000000001</v>
      </c>
      <c r="AQ33" s="6">
        <v>1.0999999999999999E-2</v>
      </c>
    </row>
    <row r="34" spans="1:43" x14ac:dyDescent="0.3">
      <c r="A34" t="s">
        <v>400</v>
      </c>
      <c r="B34" t="s">
        <v>400</v>
      </c>
      <c r="C34" t="s">
        <v>430</v>
      </c>
      <c r="D34" t="s">
        <v>431</v>
      </c>
      <c r="E34" t="s">
        <v>364</v>
      </c>
      <c r="I34">
        <v>3.3909999999999999E-3</v>
      </c>
      <c r="J34">
        <v>3.2929999999999999E-3</v>
      </c>
      <c r="K34">
        <v>3.4970000000000001E-3</v>
      </c>
      <c r="L34">
        <v>1.271E-3</v>
      </c>
      <c r="M34">
        <v>1.7589999999999999E-3</v>
      </c>
      <c r="N34">
        <v>1.08E-4</v>
      </c>
      <c r="O34">
        <v>9.2E-5</v>
      </c>
      <c r="P34">
        <v>2.8500000000000001E-3</v>
      </c>
      <c r="Q34">
        <v>2.6919999999999999E-3</v>
      </c>
      <c r="R34">
        <v>2.689E-3</v>
      </c>
      <c r="S34">
        <v>2.6649999999999998E-3</v>
      </c>
      <c r="T34">
        <v>2.6570000000000001E-3</v>
      </c>
      <c r="U34">
        <v>2.6450000000000002E-3</v>
      </c>
      <c r="V34">
        <v>2.647E-3</v>
      </c>
      <c r="W34">
        <v>2.6510000000000001E-3</v>
      </c>
      <c r="X34">
        <v>2.6710000000000002E-3</v>
      </c>
      <c r="Y34">
        <v>2.6640000000000001E-3</v>
      </c>
      <c r="Z34">
        <v>2.65E-3</v>
      </c>
      <c r="AA34">
        <v>2.624E-3</v>
      </c>
      <c r="AB34">
        <v>2.591E-3</v>
      </c>
      <c r="AC34">
        <v>2.552E-3</v>
      </c>
      <c r="AD34">
        <v>2.5149999999999999E-3</v>
      </c>
      <c r="AE34">
        <v>2.4810000000000001E-3</v>
      </c>
      <c r="AF34">
        <v>2.4499999999999999E-3</v>
      </c>
      <c r="AG34">
        <v>2.421E-3</v>
      </c>
      <c r="AH34">
        <v>2.3930000000000002E-3</v>
      </c>
      <c r="AI34">
        <v>2.3640000000000002E-3</v>
      </c>
      <c r="AJ34">
        <v>2.3370000000000001E-3</v>
      </c>
      <c r="AK34">
        <v>2.3180000000000002E-3</v>
      </c>
      <c r="AL34">
        <v>2.2889999999999998E-3</v>
      </c>
      <c r="AM34">
        <v>2.251E-3</v>
      </c>
      <c r="AN34">
        <v>2.2209999999999999E-3</v>
      </c>
      <c r="AO34">
        <v>2.196E-3</v>
      </c>
      <c r="AP34">
        <v>2.166E-3</v>
      </c>
      <c r="AQ34" s="6">
        <v>-4.0000000000000001E-3</v>
      </c>
    </row>
    <row r="35" spans="1:43" x14ac:dyDescent="0.3">
      <c r="A35" t="s">
        <v>432</v>
      </c>
      <c r="B35" t="s">
        <v>432</v>
      </c>
      <c r="C35" t="s">
        <v>433</v>
      </c>
      <c r="D35" t="s">
        <v>434</v>
      </c>
      <c r="E35" t="s">
        <v>364</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t="s">
        <v>397</v>
      </c>
    </row>
    <row r="36" spans="1:43" x14ac:dyDescent="0.3">
      <c r="A36" t="s">
        <v>435</v>
      </c>
      <c r="B36" t="s">
        <v>435</v>
      </c>
      <c r="C36" t="s">
        <v>436</v>
      </c>
      <c r="D36" t="s">
        <v>437</v>
      </c>
      <c r="E36" t="s">
        <v>364</v>
      </c>
      <c r="I36">
        <v>0.52827999999999997</v>
      </c>
      <c r="J36">
        <v>0.51832699999999998</v>
      </c>
      <c r="K36">
        <v>0.52617199999999997</v>
      </c>
      <c r="L36">
        <v>0.46377499999999999</v>
      </c>
      <c r="M36">
        <v>0.45420700000000003</v>
      </c>
      <c r="N36">
        <v>0.46088600000000002</v>
      </c>
      <c r="O36">
        <v>0.45538899999999999</v>
      </c>
      <c r="P36">
        <v>0.43884400000000001</v>
      </c>
      <c r="Q36">
        <v>0.43618200000000001</v>
      </c>
      <c r="R36">
        <v>0.30896499999999999</v>
      </c>
      <c r="S36">
        <v>0.31953799999999999</v>
      </c>
      <c r="T36">
        <v>0.32516499999999998</v>
      </c>
      <c r="U36">
        <v>0.32675900000000002</v>
      </c>
      <c r="V36">
        <v>0.32597300000000001</v>
      </c>
      <c r="W36">
        <v>0.32385399999999998</v>
      </c>
      <c r="X36">
        <v>0.316027</v>
      </c>
      <c r="Y36">
        <v>0.30880299999999999</v>
      </c>
      <c r="Z36">
        <v>0.31193399999999999</v>
      </c>
      <c r="AA36">
        <v>0.31071700000000002</v>
      </c>
      <c r="AB36">
        <v>0.310172</v>
      </c>
      <c r="AC36">
        <v>0.30630200000000002</v>
      </c>
      <c r="AD36">
        <v>0.30966300000000002</v>
      </c>
      <c r="AE36">
        <v>0.30655100000000002</v>
      </c>
      <c r="AF36">
        <v>0.30979800000000002</v>
      </c>
      <c r="AG36">
        <v>0.31221199999999999</v>
      </c>
      <c r="AH36">
        <v>0.30098799999999998</v>
      </c>
      <c r="AI36">
        <v>0.30384</v>
      </c>
      <c r="AJ36">
        <v>0.30524800000000002</v>
      </c>
      <c r="AK36">
        <v>0.30703599999999998</v>
      </c>
      <c r="AL36">
        <v>0.308029</v>
      </c>
      <c r="AM36">
        <v>0.30751800000000001</v>
      </c>
      <c r="AN36">
        <v>0.30973600000000001</v>
      </c>
      <c r="AO36">
        <v>0.30781900000000001</v>
      </c>
      <c r="AP36">
        <v>0.30476599999999998</v>
      </c>
      <c r="AQ36" s="6">
        <v>-5.0000000000000001E-3</v>
      </c>
    </row>
    <row r="37" spans="1:43" x14ac:dyDescent="0.3">
      <c r="A37" t="s">
        <v>368</v>
      </c>
      <c r="B37" t="s">
        <v>368</v>
      </c>
      <c r="C37" t="s">
        <v>438</v>
      </c>
      <c r="D37" t="s">
        <v>439</v>
      </c>
      <c r="E37" t="s">
        <v>364</v>
      </c>
      <c r="I37">
        <v>0.74075800000000003</v>
      </c>
      <c r="J37">
        <v>0.74282099999999995</v>
      </c>
      <c r="K37">
        <v>0.74259600000000003</v>
      </c>
      <c r="L37">
        <v>0.65029899999999996</v>
      </c>
      <c r="M37">
        <v>0.62846900000000006</v>
      </c>
      <c r="N37">
        <v>0.639181</v>
      </c>
      <c r="O37">
        <v>0.63282899999999997</v>
      </c>
      <c r="P37">
        <v>0.61956</v>
      </c>
      <c r="Q37">
        <v>0.61826999999999999</v>
      </c>
      <c r="R37">
        <v>0.48459200000000002</v>
      </c>
      <c r="S37">
        <v>0.49618899999999999</v>
      </c>
      <c r="T37">
        <v>0.50401300000000004</v>
      </c>
      <c r="U37">
        <v>0.508135</v>
      </c>
      <c r="V37">
        <v>0.50916300000000003</v>
      </c>
      <c r="W37">
        <v>0.50865099999999996</v>
      </c>
      <c r="X37">
        <v>0.50170599999999999</v>
      </c>
      <c r="Y37">
        <v>0.49536999999999998</v>
      </c>
      <c r="Z37">
        <v>0.49946600000000002</v>
      </c>
      <c r="AA37">
        <v>0.49960700000000002</v>
      </c>
      <c r="AB37">
        <v>0.500471</v>
      </c>
      <c r="AC37">
        <v>0.49758599999999997</v>
      </c>
      <c r="AD37">
        <v>0.50194399999999995</v>
      </c>
      <c r="AE37">
        <v>0.49958900000000001</v>
      </c>
      <c r="AF37">
        <v>0.50389300000000004</v>
      </c>
      <c r="AG37">
        <v>0.50700699999999999</v>
      </c>
      <c r="AH37">
        <v>0.496309</v>
      </c>
      <c r="AI37">
        <v>0.499805</v>
      </c>
      <c r="AJ37">
        <v>0.50185100000000005</v>
      </c>
      <c r="AK37">
        <v>0.50447500000000001</v>
      </c>
      <c r="AL37">
        <v>0.50679600000000002</v>
      </c>
      <c r="AM37">
        <v>0.50769399999999998</v>
      </c>
      <c r="AN37">
        <v>0.51085400000000003</v>
      </c>
      <c r="AO37">
        <v>0.51075199999999998</v>
      </c>
      <c r="AP37">
        <v>0.50942699999999996</v>
      </c>
      <c r="AQ37" s="6">
        <v>-1E-3</v>
      </c>
    </row>
    <row r="38" spans="1:43" x14ac:dyDescent="0.3">
      <c r="A38" t="s">
        <v>98</v>
      </c>
      <c r="B38" t="s">
        <v>98</v>
      </c>
      <c r="C38" t="s">
        <v>440</v>
      </c>
      <c r="D38" t="s">
        <v>441</v>
      </c>
      <c r="E38" t="s">
        <v>364</v>
      </c>
      <c r="I38">
        <v>1.003134</v>
      </c>
      <c r="J38">
        <v>1.0704050000000001</v>
      </c>
      <c r="K38">
        <v>1.008513</v>
      </c>
      <c r="L38">
        <v>0.96288899999999999</v>
      </c>
      <c r="M38">
        <v>0.99665700000000002</v>
      </c>
      <c r="N38">
        <v>0.97022299999999995</v>
      </c>
      <c r="O38">
        <v>0.92830400000000002</v>
      </c>
      <c r="P38">
        <v>0.83363399999999999</v>
      </c>
      <c r="Q38">
        <v>0.83024600000000004</v>
      </c>
      <c r="R38">
        <v>0.82397799999999999</v>
      </c>
      <c r="S38">
        <v>0.82428800000000002</v>
      </c>
      <c r="T38">
        <v>0.82533500000000004</v>
      </c>
      <c r="U38">
        <v>0.830488</v>
      </c>
      <c r="V38">
        <v>0.84185299999999996</v>
      </c>
      <c r="W38">
        <v>0.84692500000000004</v>
      </c>
      <c r="X38">
        <v>0.85701300000000002</v>
      </c>
      <c r="Y38">
        <v>0.86009500000000005</v>
      </c>
      <c r="Z38">
        <v>0.85463699999999998</v>
      </c>
      <c r="AA38">
        <v>0.85913200000000001</v>
      </c>
      <c r="AB38">
        <v>0.85733400000000004</v>
      </c>
      <c r="AC38">
        <v>0.86280599999999996</v>
      </c>
      <c r="AD38">
        <v>0.86814899999999995</v>
      </c>
      <c r="AE38">
        <v>0.88016300000000003</v>
      </c>
      <c r="AF38">
        <v>0.88885700000000001</v>
      </c>
      <c r="AG38">
        <v>0.89342299999999997</v>
      </c>
      <c r="AH38">
        <v>0.90234700000000001</v>
      </c>
      <c r="AI38">
        <v>0.91322599999999998</v>
      </c>
      <c r="AJ38">
        <v>0.925508</v>
      </c>
      <c r="AK38">
        <v>0.93461300000000003</v>
      </c>
      <c r="AL38">
        <v>0.93862800000000002</v>
      </c>
      <c r="AM38">
        <v>0.95361200000000002</v>
      </c>
      <c r="AN38">
        <v>0.96610600000000002</v>
      </c>
      <c r="AO38">
        <v>0.98338899999999996</v>
      </c>
      <c r="AP38">
        <v>0.99876699999999996</v>
      </c>
      <c r="AQ38" s="6">
        <v>8.9999999999999993E-3</v>
      </c>
    </row>
    <row r="39" spans="1:43" x14ac:dyDescent="0.3">
      <c r="A39" t="s">
        <v>442</v>
      </c>
      <c r="B39" t="s">
        <v>442</v>
      </c>
      <c r="C39" t="s">
        <v>443</v>
      </c>
      <c r="D39" t="s">
        <v>444</v>
      </c>
      <c r="E39" t="s">
        <v>364</v>
      </c>
      <c r="I39">
        <v>0</v>
      </c>
      <c r="J39">
        <v>0</v>
      </c>
      <c r="K39">
        <v>0</v>
      </c>
      <c r="L39">
        <v>0</v>
      </c>
      <c r="M39">
        <v>0</v>
      </c>
      <c r="N39">
        <v>0</v>
      </c>
      <c r="O39">
        <v>0</v>
      </c>
      <c r="P39">
        <v>0.279783</v>
      </c>
      <c r="Q39">
        <v>0.25668200000000002</v>
      </c>
      <c r="R39">
        <v>0.26378299999999999</v>
      </c>
      <c r="S39">
        <v>0.26644600000000002</v>
      </c>
      <c r="T39">
        <v>0.27815499999999999</v>
      </c>
      <c r="U39">
        <v>0.27727499999999999</v>
      </c>
      <c r="V39">
        <v>0.27540599999999998</v>
      </c>
      <c r="W39">
        <v>0.27752399999999999</v>
      </c>
      <c r="X39">
        <v>0.280636</v>
      </c>
      <c r="Y39">
        <v>0.28720499999999999</v>
      </c>
      <c r="Z39">
        <v>0.28256799999999999</v>
      </c>
      <c r="AA39">
        <v>0.27904600000000002</v>
      </c>
      <c r="AB39">
        <v>0.27388000000000001</v>
      </c>
      <c r="AC39">
        <v>0.27036100000000002</v>
      </c>
      <c r="AD39">
        <v>0.265621</v>
      </c>
      <c r="AE39">
        <v>0.26136199999999998</v>
      </c>
      <c r="AF39">
        <v>0.25750000000000001</v>
      </c>
      <c r="AG39">
        <v>0.25278699999999998</v>
      </c>
      <c r="AH39">
        <v>0.25036799999999998</v>
      </c>
      <c r="AI39">
        <v>0.24881300000000001</v>
      </c>
      <c r="AJ39">
        <v>0.24675800000000001</v>
      </c>
      <c r="AK39">
        <v>0.24518100000000001</v>
      </c>
      <c r="AL39">
        <v>0.243421</v>
      </c>
      <c r="AM39">
        <v>0.241595</v>
      </c>
      <c r="AN39">
        <v>0.23966000000000001</v>
      </c>
      <c r="AO39">
        <v>0.23769499999999999</v>
      </c>
      <c r="AP39">
        <v>0.23255999999999999</v>
      </c>
      <c r="AQ39" t="s">
        <v>397</v>
      </c>
    </row>
    <row r="40" spans="1:43" x14ac:dyDescent="0.3">
      <c r="A40" t="s">
        <v>445</v>
      </c>
      <c r="B40" t="s">
        <v>445</v>
      </c>
      <c r="C40" t="s">
        <v>446</v>
      </c>
      <c r="D40" t="s">
        <v>447</v>
      </c>
      <c r="E40" t="s">
        <v>364</v>
      </c>
      <c r="I40">
        <v>0.283586</v>
      </c>
      <c r="J40">
        <v>0.29477799999999998</v>
      </c>
      <c r="K40">
        <v>0.29870200000000002</v>
      </c>
      <c r="L40">
        <v>0.28741899999999998</v>
      </c>
      <c r="M40">
        <v>0.28536099999999998</v>
      </c>
      <c r="N40">
        <v>0.30041600000000002</v>
      </c>
      <c r="O40">
        <v>0.26392500000000002</v>
      </c>
      <c r="P40">
        <v>1.1134170000000001</v>
      </c>
      <c r="Q40">
        <v>1.0869279999999999</v>
      </c>
      <c r="R40">
        <v>1.087761</v>
      </c>
      <c r="S40">
        <v>1.090735</v>
      </c>
      <c r="T40">
        <v>1.1034900000000001</v>
      </c>
      <c r="U40">
        <v>1.1077630000000001</v>
      </c>
      <c r="V40">
        <v>1.117259</v>
      </c>
      <c r="W40">
        <v>1.124449</v>
      </c>
      <c r="X40">
        <v>1.137648</v>
      </c>
      <c r="Y40">
        <v>1.1473</v>
      </c>
      <c r="Z40">
        <v>1.137205</v>
      </c>
      <c r="AA40">
        <v>1.1381779999999999</v>
      </c>
      <c r="AB40">
        <v>1.1312139999999999</v>
      </c>
      <c r="AC40">
        <v>1.133167</v>
      </c>
      <c r="AD40">
        <v>1.1337710000000001</v>
      </c>
      <c r="AE40">
        <v>1.1415249999999999</v>
      </c>
      <c r="AF40">
        <v>1.1463559999999999</v>
      </c>
      <c r="AG40">
        <v>1.14621</v>
      </c>
      <c r="AH40">
        <v>1.1527149999999999</v>
      </c>
      <c r="AI40">
        <v>1.162039</v>
      </c>
      <c r="AJ40">
        <v>1.172266</v>
      </c>
      <c r="AK40">
        <v>1.179794</v>
      </c>
      <c r="AL40">
        <v>1.18205</v>
      </c>
      <c r="AM40">
        <v>1.1952069999999999</v>
      </c>
      <c r="AN40">
        <v>1.205765</v>
      </c>
      <c r="AO40">
        <v>1.2210840000000001</v>
      </c>
      <c r="AP40">
        <v>1.2313270000000001</v>
      </c>
      <c r="AQ40" s="6">
        <v>0</v>
      </c>
    </row>
    <row r="41" spans="1:43" x14ac:dyDescent="0.3">
      <c r="A41" t="s">
        <v>448</v>
      </c>
      <c r="B41" t="s">
        <v>448</v>
      </c>
      <c r="C41" t="s">
        <v>449</v>
      </c>
      <c r="D41" t="s">
        <v>450</v>
      </c>
      <c r="E41" t="s">
        <v>364</v>
      </c>
      <c r="I41">
        <v>1.286721</v>
      </c>
      <c r="J41">
        <v>1.365183</v>
      </c>
      <c r="K41">
        <v>1.3072140000000001</v>
      </c>
      <c r="L41">
        <v>1.2503089999999999</v>
      </c>
      <c r="M41">
        <v>1.2820180000000001</v>
      </c>
      <c r="N41">
        <v>1.27064</v>
      </c>
      <c r="O41">
        <v>1.192229</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s="6">
        <v>7.0000000000000001E-3</v>
      </c>
    </row>
    <row r="42" spans="1:43" x14ac:dyDescent="0.3">
      <c r="A42" t="s">
        <v>451</v>
      </c>
      <c r="B42" t="s">
        <v>451</v>
      </c>
      <c r="C42" t="s">
        <v>452</v>
      </c>
      <c r="D42" t="s">
        <v>453</v>
      </c>
      <c r="E42" t="s">
        <v>364</v>
      </c>
      <c r="I42">
        <v>0</v>
      </c>
      <c r="J42">
        <v>0</v>
      </c>
      <c r="K42">
        <v>0</v>
      </c>
      <c r="L42">
        <v>0</v>
      </c>
      <c r="M42">
        <v>0</v>
      </c>
      <c r="N42">
        <v>0</v>
      </c>
      <c r="O42">
        <v>0</v>
      </c>
      <c r="P42">
        <v>1.9394000000000002E-2</v>
      </c>
      <c r="Q42">
        <v>2.0421000000000002E-2</v>
      </c>
      <c r="R42">
        <v>2.0968000000000001E-2</v>
      </c>
      <c r="S42">
        <v>2.1547E-2</v>
      </c>
      <c r="T42">
        <v>2.2079000000000001E-2</v>
      </c>
      <c r="U42">
        <v>2.2207999999999999E-2</v>
      </c>
      <c r="V42">
        <v>2.2276000000000001E-2</v>
      </c>
      <c r="W42">
        <v>2.2283000000000001E-2</v>
      </c>
      <c r="X42">
        <v>2.2387000000000001E-2</v>
      </c>
      <c r="Y42">
        <v>2.2238999999999998E-2</v>
      </c>
      <c r="Z42">
        <v>2.1906999999999999E-2</v>
      </c>
      <c r="AA42">
        <v>2.1499999999999998E-2</v>
      </c>
      <c r="AB42">
        <v>2.0896000000000001E-2</v>
      </c>
      <c r="AC42">
        <v>2.0212999999999998E-2</v>
      </c>
      <c r="AD42">
        <v>1.9726E-2</v>
      </c>
      <c r="AE42">
        <v>1.9224000000000002E-2</v>
      </c>
      <c r="AF42">
        <v>1.8780999999999999E-2</v>
      </c>
      <c r="AG42">
        <v>1.8366E-2</v>
      </c>
      <c r="AH42">
        <v>1.7968000000000001E-2</v>
      </c>
      <c r="AI42">
        <v>1.7552000000000002E-2</v>
      </c>
      <c r="AJ42">
        <v>1.7138E-2</v>
      </c>
      <c r="AK42">
        <v>1.6764000000000001E-2</v>
      </c>
      <c r="AL42">
        <v>1.6410999999999999E-2</v>
      </c>
      <c r="AM42">
        <v>1.6084000000000001E-2</v>
      </c>
      <c r="AN42">
        <v>1.5779999999999999E-2</v>
      </c>
      <c r="AO42">
        <v>1.549E-2</v>
      </c>
      <c r="AP42">
        <v>1.5126000000000001E-2</v>
      </c>
      <c r="AQ42" t="s">
        <v>397</v>
      </c>
    </row>
    <row r="43" spans="1:43" x14ac:dyDescent="0.3">
      <c r="A43" t="s">
        <v>454</v>
      </c>
      <c r="B43" t="s">
        <v>454</v>
      </c>
      <c r="C43" t="s">
        <v>455</v>
      </c>
      <c r="D43" t="s">
        <v>456</v>
      </c>
      <c r="E43" t="s">
        <v>364</v>
      </c>
      <c r="I43">
        <v>3.2236000000000001E-2</v>
      </c>
      <c r="J43">
        <v>2.9430000000000001E-2</v>
      </c>
      <c r="K43">
        <v>3.0235000000000001E-2</v>
      </c>
      <c r="L43">
        <v>2.9201000000000001E-2</v>
      </c>
      <c r="M43">
        <v>3.1400999999999998E-2</v>
      </c>
      <c r="N43">
        <v>3.0339000000000001E-2</v>
      </c>
      <c r="O43">
        <v>2.7304999999999999E-2</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s="6">
        <v>1E-3</v>
      </c>
    </row>
    <row r="44" spans="1:43" x14ac:dyDescent="0.3">
      <c r="A44" t="s">
        <v>457</v>
      </c>
      <c r="B44" t="s">
        <v>457</v>
      </c>
      <c r="C44" t="s">
        <v>458</v>
      </c>
      <c r="D44" t="s">
        <v>459</v>
      </c>
      <c r="E44" t="s">
        <v>364</v>
      </c>
      <c r="I44">
        <v>0</v>
      </c>
      <c r="J44">
        <v>0</v>
      </c>
      <c r="K44">
        <v>0</v>
      </c>
      <c r="L44">
        <v>0</v>
      </c>
      <c r="M44">
        <v>0</v>
      </c>
      <c r="N44">
        <v>0</v>
      </c>
      <c r="O44">
        <v>0</v>
      </c>
      <c r="P44">
        <v>1.9394000000000002E-2</v>
      </c>
      <c r="Q44">
        <v>2.0421000000000002E-2</v>
      </c>
      <c r="R44">
        <v>2.0968000000000001E-2</v>
      </c>
      <c r="S44">
        <v>2.1547E-2</v>
      </c>
      <c r="T44">
        <v>2.2079000000000001E-2</v>
      </c>
      <c r="U44">
        <v>2.2207999999999999E-2</v>
      </c>
      <c r="V44">
        <v>2.2276000000000001E-2</v>
      </c>
      <c r="W44">
        <v>2.2283000000000001E-2</v>
      </c>
      <c r="X44">
        <v>2.2387000000000001E-2</v>
      </c>
      <c r="Y44">
        <v>2.2238999999999998E-2</v>
      </c>
      <c r="Z44">
        <v>2.1906999999999999E-2</v>
      </c>
      <c r="AA44">
        <v>2.1499999999999998E-2</v>
      </c>
      <c r="AB44">
        <v>2.0896000000000001E-2</v>
      </c>
      <c r="AC44">
        <v>2.0212999999999998E-2</v>
      </c>
      <c r="AD44">
        <v>1.9726E-2</v>
      </c>
      <c r="AE44">
        <v>1.9224000000000002E-2</v>
      </c>
      <c r="AF44">
        <v>1.8780999999999999E-2</v>
      </c>
      <c r="AG44">
        <v>1.8366E-2</v>
      </c>
      <c r="AH44">
        <v>1.7968000000000001E-2</v>
      </c>
      <c r="AI44">
        <v>1.7552000000000002E-2</v>
      </c>
      <c r="AJ44">
        <v>1.7138E-2</v>
      </c>
      <c r="AK44">
        <v>1.6764000000000001E-2</v>
      </c>
      <c r="AL44">
        <v>1.6410999999999999E-2</v>
      </c>
      <c r="AM44">
        <v>1.6084000000000001E-2</v>
      </c>
      <c r="AN44">
        <v>1.5779999999999999E-2</v>
      </c>
      <c r="AO44">
        <v>1.549E-2</v>
      </c>
      <c r="AP44">
        <v>1.5126000000000001E-2</v>
      </c>
      <c r="AQ44" t="s">
        <v>397</v>
      </c>
    </row>
    <row r="45" spans="1:43" x14ac:dyDescent="0.3">
      <c r="A45" t="s">
        <v>460</v>
      </c>
      <c r="B45" t="s">
        <v>460</v>
      </c>
      <c r="C45" t="s">
        <v>461</v>
      </c>
      <c r="D45" t="s">
        <v>462</v>
      </c>
      <c r="E45" t="s">
        <v>364</v>
      </c>
      <c r="I45">
        <v>0</v>
      </c>
      <c r="J45">
        <v>0</v>
      </c>
      <c r="K45">
        <v>0</v>
      </c>
      <c r="L45">
        <v>0</v>
      </c>
      <c r="M45">
        <v>0</v>
      </c>
      <c r="N45">
        <v>0</v>
      </c>
      <c r="O45">
        <v>0</v>
      </c>
      <c r="P45">
        <v>0.115357</v>
      </c>
      <c r="Q45">
        <v>0.11726399999999999</v>
      </c>
      <c r="R45">
        <v>0.11483</v>
      </c>
      <c r="S45">
        <v>0.112502</v>
      </c>
      <c r="T45">
        <v>0.110099</v>
      </c>
      <c r="U45">
        <v>0.107422</v>
      </c>
      <c r="V45">
        <v>0.10457900000000001</v>
      </c>
      <c r="W45">
        <v>0.101281</v>
      </c>
      <c r="X45">
        <v>9.8132999999999998E-2</v>
      </c>
      <c r="Y45">
        <v>9.4334000000000001E-2</v>
      </c>
      <c r="Z45">
        <v>9.0697E-2</v>
      </c>
      <c r="AA45">
        <v>8.7219000000000005E-2</v>
      </c>
      <c r="AB45">
        <v>8.4293000000000007E-2</v>
      </c>
      <c r="AC45">
        <v>8.0770999999999996E-2</v>
      </c>
      <c r="AD45">
        <v>7.7691999999999997E-2</v>
      </c>
      <c r="AE45">
        <v>7.5419E-2</v>
      </c>
      <c r="AF45">
        <v>7.3752999999999999E-2</v>
      </c>
      <c r="AG45">
        <v>7.1625999999999995E-2</v>
      </c>
      <c r="AH45">
        <v>6.9622000000000003E-2</v>
      </c>
      <c r="AI45">
        <v>6.7972000000000005E-2</v>
      </c>
      <c r="AJ45">
        <v>6.7317000000000002E-2</v>
      </c>
      <c r="AK45">
        <v>6.6215999999999997E-2</v>
      </c>
      <c r="AL45">
        <v>6.5210000000000004E-2</v>
      </c>
      <c r="AM45">
        <v>6.4465999999999996E-2</v>
      </c>
      <c r="AN45">
        <v>6.3492000000000007E-2</v>
      </c>
      <c r="AO45">
        <v>6.3009999999999997E-2</v>
      </c>
      <c r="AP45">
        <v>6.3676999999999997E-2</v>
      </c>
      <c r="AQ45" t="s">
        <v>397</v>
      </c>
    </row>
    <row r="46" spans="1:43" x14ac:dyDescent="0.3">
      <c r="A46" t="s">
        <v>463</v>
      </c>
      <c r="B46" t="s">
        <v>463</v>
      </c>
      <c r="C46" t="s">
        <v>464</v>
      </c>
      <c r="D46" t="s">
        <v>465</v>
      </c>
      <c r="E46" t="s">
        <v>364</v>
      </c>
      <c r="I46">
        <v>3.2236000000000001E-2</v>
      </c>
      <c r="J46">
        <v>2.9430000000000001E-2</v>
      </c>
      <c r="K46">
        <v>3.0235000000000001E-2</v>
      </c>
      <c r="L46">
        <v>2.9201000000000001E-2</v>
      </c>
      <c r="M46">
        <v>3.1400999999999998E-2</v>
      </c>
      <c r="N46">
        <v>3.0339000000000001E-2</v>
      </c>
      <c r="O46">
        <v>2.7304999999999999E-2</v>
      </c>
      <c r="P46">
        <v>0.13650300000000001</v>
      </c>
      <c r="Q46">
        <v>0.14816399999999999</v>
      </c>
      <c r="R46">
        <v>0.150807</v>
      </c>
      <c r="S46">
        <v>0.15107400000000001</v>
      </c>
      <c r="T46">
        <v>0.15187100000000001</v>
      </c>
      <c r="U46">
        <v>0.15467500000000001</v>
      </c>
      <c r="V46">
        <v>0.15757099999999999</v>
      </c>
      <c r="W46">
        <v>0.16029299999999999</v>
      </c>
      <c r="X46">
        <v>0.162324</v>
      </c>
      <c r="Y46">
        <v>0.16291900000000001</v>
      </c>
      <c r="Z46">
        <v>0.165606</v>
      </c>
      <c r="AA46">
        <v>0.16864799999999999</v>
      </c>
      <c r="AB46">
        <v>0.174016</v>
      </c>
      <c r="AC46">
        <v>0.178149</v>
      </c>
      <c r="AD46">
        <v>0.18163299999999999</v>
      </c>
      <c r="AE46">
        <v>0.18548200000000001</v>
      </c>
      <c r="AF46">
        <v>0.18761900000000001</v>
      </c>
      <c r="AG46">
        <v>0.187277</v>
      </c>
      <c r="AH46">
        <v>0.18803300000000001</v>
      </c>
      <c r="AI46">
        <v>0.187253</v>
      </c>
      <c r="AJ46">
        <v>0.187585</v>
      </c>
      <c r="AK46">
        <v>0.18995600000000001</v>
      </c>
      <c r="AL46">
        <v>0.19248299999999999</v>
      </c>
      <c r="AM46">
        <v>0.19603799999999999</v>
      </c>
      <c r="AN46">
        <v>0.20049</v>
      </c>
      <c r="AO46">
        <v>0.20539399999999999</v>
      </c>
      <c r="AP46">
        <v>0.210061</v>
      </c>
      <c r="AQ46" s="6">
        <v>1E-3</v>
      </c>
    </row>
    <row r="47" spans="1:43" x14ac:dyDescent="0.3">
      <c r="A47" t="s">
        <v>466</v>
      </c>
      <c r="B47" t="s">
        <v>466</v>
      </c>
      <c r="C47" t="s">
        <v>467</v>
      </c>
      <c r="D47" t="s">
        <v>468</v>
      </c>
      <c r="E47" t="s">
        <v>364</v>
      </c>
      <c r="I47">
        <v>0.111349</v>
      </c>
      <c r="J47">
        <v>0.11107400000000001</v>
      </c>
      <c r="K47">
        <v>0.128689</v>
      </c>
      <c r="L47">
        <v>0.12955700000000001</v>
      </c>
      <c r="M47">
        <v>0.13327900000000001</v>
      </c>
      <c r="N47">
        <v>0.123927</v>
      </c>
      <c r="O47">
        <v>0.12903500000000001</v>
      </c>
      <c r="P47">
        <v>0.10557900000000001</v>
      </c>
      <c r="Q47">
        <v>0.105811</v>
      </c>
      <c r="R47">
        <v>0.10613300000000001</v>
      </c>
      <c r="S47">
        <v>0.106241</v>
      </c>
      <c r="T47">
        <v>0.106321</v>
      </c>
      <c r="U47">
        <v>0.106388</v>
      </c>
      <c r="V47">
        <v>0.106479</v>
      </c>
      <c r="W47">
        <v>0.1066</v>
      </c>
      <c r="X47">
        <v>0.10669099999999999</v>
      </c>
      <c r="Y47">
        <v>0.106785</v>
      </c>
      <c r="Z47">
        <v>0.106958</v>
      </c>
      <c r="AA47">
        <v>0.107118</v>
      </c>
      <c r="AB47">
        <v>0.10717500000000001</v>
      </c>
      <c r="AC47">
        <v>0.10736900000000001</v>
      </c>
      <c r="AD47">
        <v>0.10748000000000001</v>
      </c>
      <c r="AE47">
        <v>0.10760599999999999</v>
      </c>
      <c r="AF47">
        <v>0.107726</v>
      </c>
      <c r="AG47">
        <v>0.107844</v>
      </c>
      <c r="AH47">
        <v>0.107957</v>
      </c>
      <c r="AI47">
        <v>0.108066</v>
      </c>
      <c r="AJ47">
        <v>0.108183</v>
      </c>
      <c r="AK47">
        <v>0.108281</v>
      </c>
      <c r="AL47">
        <v>0.108373</v>
      </c>
      <c r="AM47">
        <v>0.10846799999999999</v>
      </c>
      <c r="AN47">
        <v>0.108593</v>
      </c>
      <c r="AO47">
        <v>0.108709</v>
      </c>
      <c r="AP47">
        <v>0.10882</v>
      </c>
      <c r="AQ47" s="6">
        <v>-5.0000000000000001E-3</v>
      </c>
    </row>
    <row r="48" spans="1:43" x14ac:dyDescent="0.3">
      <c r="A48" t="s">
        <v>373</v>
      </c>
      <c r="B48" t="s">
        <v>373</v>
      </c>
      <c r="C48" t="s">
        <v>469</v>
      </c>
      <c r="D48" t="s">
        <v>470</v>
      </c>
      <c r="E48" t="s">
        <v>364</v>
      </c>
      <c r="I48">
        <v>0.15648899999999999</v>
      </c>
      <c r="J48">
        <v>0.15682399999999999</v>
      </c>
      <c r="K48">
        <v>0.140981</v>
      </c>
      <c r="L48">
        <v>0.14011199999999999</v>
      </c>
      <c r="M48">
        <v>0.15512400000000001</v>
      </c>
      <c r="N48">
        <v>0.16539899999999999</v>
      </c>
      <c r="O48">
        <v>0.17175299999999999</v>
      </c>
      <c r="P48">
        <v>0.323162</v>
      </c>
      <c r="Q48">
        <v>0.33609499999999998</v>
      </c>
      <c r="R48">
        <v>0.33613700000000002</v>
      </c>
      <c r="S48">
        <v>0.339897</v>
      </c>
      <c r="T48">
        <v>0.34215899999999999</v>
      </c>
      <c r="U48">
        <v>0.34601399999999999</v>
      </c>
      <c r="V48">
        <v>0.353246</v>
      </c>
      <c r="W48">
        <v>0.36092999999999997</v>
      </c>
      <c r="X48">
        <v>0.37418000000000001</v>
      </c>
      <c r="Y48">
        <v>0.389297</v>
      </c>
      <c r="Z48">
        <v>0.40748200000000001</v>
      </c>
      <c r="AA48">
        <v>0.42590800000000001</v>
      </c>
      <c r="AB48">
        <v>0.44094699999999998</v>
      </c>
      <c r="AC48">
        <v>0.45396599999999998</v>
      </c>
      <c r="AD48">
        <v>0.467723</v>
      </c>
      <c r="AE48">
        <v>0.48043000000000002</v>
      </c>
      <c r="AF48">
        <v>0.49403200000000003</v>
      </c>
      <c r="AG48">
        <v>0.50699499999999997</v>
      </c>
      <c r="AH48">
        <v>0.51839299999999999</v>
      </c>
      <c r="AI48">
        <v>0.52832699999999999</v>
      </c>
      <c r="AJ48">
        <v>0.53696500000000003</v>
      </c>
      <c r="AK48">
        <v>0.54498500000000005</v>
      </c>
      <c r="AL48">
        <v>0.55428200000000005</v>
      </c>
      <c r="AM48">
        <v>0.56332700000000002</v>
      </c>
      <c r="AN48">
        <v>0.57369899999999996</v>
      </c>
      <c r="AO48">
        <v>0.58309999999999995</v>
      </c>
      <c r="AP48">
        <v>0.59222399999999997</v>
      </c>
      <c r="AQ48" s="6">
        <v>1.6E-2</v>
      </c>
    </row>
    <row r="49" spans="1:43" x14ac:dyDescent="0.3">
      <c r="A49" t="s">
        <v>376</v>
      </c>
      <c r="B49" t="s">
        <v>176</v>
      </c>
      <c r="C49" t="s">
        <v>471</v>
      </c>
      <c r="D49" t="s">
        <v>472</v>
      </c>
      <c r="E49" t="s">
        <v>364</v>
      </c>
      <c r="I49">
        <v>0.314608</v>
      </c>
      <c r="J49">
        <v>0.31359199999999998</v>
      </c>
      <c r="K49">
        <v>0.303346</v>
      </c>
      <c r="L49">
        <v>0.29591899999999999</v>
      </c>
      <c r="M49">
        <v>0.31246699999999999</v>
      </c>
      <c r="N49">
        <v>0.32604899999999998</v>
      </c>
      <c r="O49">
        <v>0.32891300000000001</v>
      </c>
      <c r="P49">
        <v>2.4329719999999999</v>
      </c>
      <c r="Q49">
        <v>2.4329510000000001</v>
      </c>
      <c r="R49">
        <v>2.3012290000000002</v>
      </c>
      <c r="S49">
        <v>2.318184</v>
      </c>
      <c r="T49">
        <v>2.340033</v>
      </c>
      <c r="U49">
        <v>2.3526039999999999</v>
      </c>
      <c r="V49">
        <v>2.3705720000000001</v>
      </c>
      <c r="W49">
        <v>2.3844850000000002</v>
      </c>
      <c r="X49">
        <v>2.40307</v>
      </c>
      <c r="Y49">
        <v>2.4182440000000001</v>
      </c>
      <c r="Z49">
        <v>2.4293209999999998</v>
      </c>
      <c r="AA49">
        <v>2.4481769999999998</v>
      </c>
      <c r="AB49">
        <v>2.4590130000000001</v>
      </c>
      <c r="AC49">
        <v>2.4712209999999999</v>
      </c>
      <c r="AD49">
        <v>2.48997</v>
      </c>
      <c r="AE49">
        <v>2.5092750000000001</v>
      </c>
      <c r="AF49">
        <v>2.532159</v>
      </c>
      <c r="AG49">
        <v>2.5453250000000001</v>
      </c>
      <c r="AH49">
        <v>2.5509970000000002</v>
      </c>
      <c r="AI49">
        <v>2.5710139999999999</v>
      </c>
      <c r="AJ49">
        <v>2.5913050000000002</v>
      </c>
      <c r="AK49">
        <v>2.6104720000000001</v>
      </c>
      <c r="AL49">
        <v>2.625604</v>
      </c>
      <c r="AM49">
        <v>2.651284</v>
      </c>
      <c r="AN49">
        <v>2.6786729999999999</v>
      </c>
      <c r="AO49">
        <v>2.707538</v>
      </c>
      <c r="AP49">
        <v>2.7306620000000001</v>
      </c>
      <c r="AQ49" s="6">
        <v>1.0999999999999999E-2</v>
      </c>
    </row>
    <row r="50" spans="1:43" x14ac:dyDescent="0.3">
      <c r="A50" t="s">
        <v>379</v>
      </c>
      <c r="B50" t="s">
        <v>379</v>
      </c>
      <c r="C50" t="s">
        <v>473</v>
      </c>
      <c r="D50" t="s">
        <v>474</v>
      </c>
      <c r="E50" t="s">
        <v>364</v>
      </c>
      <c r="I50">
        <v>2.6421610000000002</v>
      </c>
      <c r="J50">
        <v>2.7189239999999999</v>
      </c>
      <c r="K50">
        <v>2.6530619999999998</v>
      </c>
      <c r="L50">
        <v>2.4953979999999998</v>
      </c>
      <c r="M50">
        <v>2.5427569999999999</v>
      </c>
      <c r="N50">
        <v>2.5555340000000002</v>
      </c>
      <c r="O50">
        <v>2.4820639999999998</v>
      </c>
      <c r="P50">
        <v>0.153336</v>
      </c>
      <c r="Q50">
        <v>0.14512700000000001</v>
      </c>
      <c r="R50">
        <v>0.134213</v>
      </c>
      <c r="S50">
        <v>0.123062</v>
      </c>
      <c r="T50">
        <v>0.12766</v>
      </c>
      <c r="U50">
        <v>0.131134</v>
      </c>
      <c r="V50">
        <v>0.119917</v>
      </c>
      <c r="W50">
        <v>0.10755000000000001</v>
      </c>
      <c r="X50">
        <v>0.116311</v>
      </c>
      <c r="Y50">
        <v>0.106434</v>
      </c>
      <c r="Z50">
        <v>0.114817</v>
      </c>
      <c r="AA50">
        <v>0.118884</v>
      </c>
      <c r="AB50">
        <v>0.114984</v>
      </c>
      <c r="AC50">
        <v>0.112581</v>
      </c>
      <c r="AD50">
        <v>0.11493399999999999</v>
      </c>
      <c r="AE50">
        <v>0.111113</v>
      </c>
      <c r="AF50">
        <v>0.109967</v>
      </c>
      <c r="AG50">
        <v>0.113691</v>
      </c>
      <c r="AH50">
        <v>0.102144</v>
      </c>
      <c r="AI50">
        <v>0.113995</v>
      </c>
      <c r="AJ50">
        <v>0.107918</v>
      </c>
      <c r="AK50">
        <v>0.10627</v>
      </c>
      <c r="AL50">
        <v>0.102217</v>
      </c>
      <c r="AM50">
        <v>0.10961600000000001</v>
      </c>
      <c r="AN50">
        <v>0.107062</v>
      </c>
      <c r="AO50">
        <v>0.105438</v>
      </c>
      <c r="AP50">
        <v>0.10423300000000001</v>
      </c>
      <c r="AQ50" s="6">
        <v>6.0000000000000001E-3</v>
      </c>
    </row>
    <row r="51" spans="1:43" x14ac:dyDescent="0.3">
      <c r="A51" t="s">
        <v>382</v>
      </c>
      <c r="B51" t="s">
        <v>382</v>
      </c>
      <c r="C51" t="s">
        <v>475</v>
      </c>
      <c r="D51" t="s">
        <v>476</v>
      </c>
      <c r="E51" t="s">
        <v>364</v>
      </c>
      <c r="I51">
        <v>0.47639999999999999</v>
      </c>
      <c r="J51">
        <v>0.48682399999999998</v>
      </c>
      <c r="K51">
        <v>0.450714</v>
      </c>
      <c r="L51">
        <v>0.41914200000000001</v>
      </c>
      <c r="M51">
        <v>0.419242</v>
      </c>
      <c r="N51">
        <v>0.44065900000000002</v>
      </c>
      <c r="O51">
        <v>0.46699299999999999</v>
      </c>
      <c r="P51">
        <v>3.1196999999999999E-2</v>
      </c>
      <c r="Q51">
        <v>3.1288999999999997E-2</v>
      </c>
      <c r="R51">
        <v>3.1424000000000001E-2</v>
      </c>
      <c r="S51">
        <v>3.1516000000000002E-2</v>
      </c>
      <c r="T51">
        <v>3.1556000000000001E-2</v>
      </c>
      <c r="U51">
        <v>3.1667000000000001E-2</v>
      </c>
      <c r="V51">
        <v>3.1754999999999999E-2</v>
      </c>
      <c r="W51">
        <v>3.1960000000000002E-2</v>
      </c>
      <c r="X51">
        <v>3.2314000000000002E-2</v>
      </c>
      <c r="Y51">
        <v>3.2670999999999999E-2</v>
      </c>
      <c r="Z51">
        <v>3.2962999999999999E-2</v>
      </c>
      <c r="AA51">
        <v>3.3248E-2</v>
      </c>
      <c r="AB51">
        <v>3.3466000000000003E-2</v>
      </c>
      <c r="AC51">
        <v>3.3700000000000001E-2</v>
      </c>
      <c r="AD51">
        <v>3.3893E-2</v>
      </c>
      <c r="AE51">
        <v>3.4077000000000003E-2</v>
      </c>
      <c r="AF51">
        <v>3.4261E-2</v>
      </c>
      <c r="AG51">
        <v>3.4432999999999998E-2</v>
      </c>
      <c r="AH51">
        <v>3.4594E-2</v>
      </c>
      <c r="AI51">
        <v>3.4758999999999998E-2</v>
      </c>
      <c r="AJ51">
        <v>3.4902000000000002E-2</v>
      </c>
      <c r="AK51">
        <v>3.5025000000000001E-2</v>
      </c>
      <c r="AL51">
        <v>3.5122E-2</v>
      </c>
      <c r="AM51">
        <v>3.5242000000000002E-2</v>
      </c>
      <c r="AN51">
        <v>3.5348999999999998E-2</v>
      </c>
      <c r="AO51">
        <v>3.5430000000000003E-2</v>
      </c>
      <c r="AP51">
        <v>3.5486999999999998E-2</v>
      </c>
      <c r="AQ51" s="6">
        <v>8.9999999999999993E-3</v>
      </c>
    </row>
    <row r="52" spans="1:43" x14ac:dyDescent="0.3">
      <c r="A52" t="s">
        <v>169</v>
      </c>
      <c r="B52" t="s">
        <v>169</v>
      </c>
      <c r="C52" t="s">
        <v>477</v>
      </c>
      <c r="D52" t="s">
        <v>478</v>
      </c>
      <c r="E52" t="s">
        <v>364</v>
      </c>
      <c r="I52">
        <v>3.1185610000000001</v>
      </c>
      <c r="J52">
        <v>3.2057479999999998</v>
      </c>
      <c r="K52">
        <v>3.1037759999999999</v>
      </c>
      <c r="L52">
        <v>2.9145400000000001</v>
      </c>
      <c r="M52">
        <v>2.961999</v>
      </c>
      <c r="N52">
        <v>2.9961929999999999</v>
      </c>
      <c r="O52">
        <v>2.949058</v>
      </c>
      <c r="P52">
        <v>2.617505</v>
      </c>
      <c r="Q52">
        <v>2.6093670000000002</v>
      </c>
      <c r="R52">
        <v>2.4668670000000001</v>
      </c>
      <c r="S52">
        <v>2.4727619999999999</v>
      </c>
      <c r="T52">
        <v>2.4992480000000001</v>
      </c>
      <c r="U52">
        <v>2.515406</v>
      </c>
      <c r="V52">
        <v>2.5222440000000002</v>
      </c>
      <c r="W52">
        <v>2.5239959999999999</v>
      </c>
      <c r="X52">
        <v>2.5516960000000002</v>
      </c>
      <c r="Y52">
        <v>2.55735</v>
      </c>
      <c r="Z52">
        <v>2.5771009999999999</v>
      </c>
      <c r="AA52">
        <v>2.6003080000000001</v>
      </c>
      <c r="AB52">
        <v>2.6074619999999999</v>
      </c>
      <c r="AC52">
        <v>2.6175030000000001</v>
      </c>
      <c r="AD52">
        <v>2.6387969999999998</v>
      </c>
      <c r="AE52">
        <v>2.6544660000000002</v>
      </c>
      <c r="AF52">
        <v>2.6763859999999999</v>
      </c>
      <c r="AG52">
        <v>2.6934499999999999</v>
      </c>
      <c r="AH52">
        <v>2.6877339999999998</v>
      </c>
      <c r="AI52">
        <v>2.7197680000000002</v>
      </c>
      <c r="AJ52">
        <v>2.7341250000000001</v>
      </c>
      <c r="AK52">
        <v>2.7517680000000002</v>
      </c>
      <c r="AL52">
        <v>2.7629419999999998</v>
      </c>
      <c r="AM52">
        <v>2.796141</v>
      </c>
      <c r="AN52">
        <v>2.8210839999999999</v>
      </c>
      <c r="AO52">
        <v>2.8484060000000002</v>
      </c>
      <c r="AP52">
        <v>2.8703820000000002</v>
      </c>
      <c r="AQ52" s="6">
        <v>6.0000000000000001E-3</v>
      </c>
    </row>
    <row r="53" spans="1:43" x14ac:dyDescent="0.3">
      <c r="A53" t="s">
        <v>479</v>
      </c>
      <c r="B53" t="s">
        <v>479</v>
      </c>
      <c r="D53" t="s">
        <v>480</v>
      </c>
    </row>
    <row r="54" spans="1:43" x14ac:dyDescent="0.3">
      <c r="A54" t="s">
        <v>118</v>
      </c>
      <c r="B54" t="s">
        <v>118</v>
      </c>
      <c r="C54" t="s">
        <v>481</v>
      </c>
      <c r="D54" t="s">
        <v>482</v>
      </c>
      <c r="E54" t="s">
        <v>364</v>
      </c>
      <c r="I54">
        <v>1.771E-3</v>
      </c>
      <c r="J54">
        <v>1.9090000000000001E-3</v>
      </c>
      <c r="K54">
        <v>1.8699999999999999E-3</v>
      </c>
      <c r="L54">
        <v>9.8499999999999998E-4</v>
      </c>
      <c r="M54">
        <v>1.155E-3</v>
      </c>
      <c r="N54">
        <v>1.3029999999999999E-3</v>
      </c>
      <c r="O54">
        <v>1.358E-3</v>
      </c>
      <c r="P54">
        <v>1.1969999999999999E-3</v>
      </c>
      <c r="Q54">
        <v>1.191E-3</v>
      </c>
      <c r="R54">
        <v>1.1739999999999999E-3</v>
      </c>
      <c r="S54">
        <v>1.1540000000000001E-3</v>
      </c>
      <c r="T54">
        <v>1.134E-3</v>
      </c>
      <c r="U54">
        <v>1.106E-3</v>
      </c>
      <c r="V54">
        <v>1.0759999999999999E-3</v>
      </c>
      <c r="W54">
        <v>1.042E-3</v>
      </c>
      <c r="X54">
        <v>1.003E-3</v>
      </c>
      <c r="Y54">
        <v>9.6299999999999999E-4</v>
      </c>
      <c r="Z54">
        <v>9.2800000000000001E-4</v>
      </c>
      <c r="AA54">
        <v>8.9700000000000001E-4</v>
      </c>
      <c r="AB54">
        <v>8.6600000000000002E-4</v>
      </c>
      <c r="AC54">
        <v>8.3600000000000005E-4</v>
      </c>
      <c r="AD54">
        <v>8.0800000000000002E-4</v>
      </c>
      <c r="AE54">
        <v>7.8299999999999995E-4</v>
      </c>
      <c r="AF54">
        <v>7.5600000000000005E-4</v>
      </c>
      <c r="AG54">
        <v>7.3099999999999999E-4</v>
      </c>
      <c r="AH54">
        <v>7.1000000000000002E-4</v>
      </c>
      <c r="AI54">
        <v>6.8900000000000005E-4</v>
      </c>
      <c r="AJ54">
        <v>6.69E-4</v>
      </c>
      <c r="AK54">
        <v>6.5499999999999998E-4</v>
      </c>
      <c r="AL54">
        <v>6.4199999999999999E-4</v>
      </c>
      <c r="AM54">
        <v>6.3299999999999999E-4</v>
      </c>
      <c r="AN54">
        <v>6.2299999999999996E-4</v>
      </c>
      <c r="AO54">
        <v>6.1200000000000002E-4</v>
      </c>
      <c r="AP54">
        <v>6.0099999999999997E-4</v>
      </c>
      <c r="AQ54" s="6">
        <v>5.0000000000000001E-3</v>
      </c>
    </row>
    <row r="55" spans="1:43" s="50" customFormat="1" x14ac:dyDescent="0.3">
      <c r="A55" t="s">
        <v>391</v>
      </c>
      <c r="B55" s="50" t="s">
        <v>391</v>
      </c>
      <c r="C55" s="50" t="s">
        <v>483</v>
      </c>
      <c r="D55" s="50" t="s">
        <v>484</v>
      </c>
      <c r="E55" s="50" t="s">
        <v>364</v>
      </c>
      <c r="F55" s="50">
        <v>2.4129999999999998</v>
      </c>
      <c r="G55" s="50">
        <v>2.4449999999999998</v>
      </c>
      <c r="H55" s="50">
        <v>2.3620000000000001</v>
      </c>
      <c r="I55" s="50">
        <v>2.372144</v>
      </c>
      <c r="J55" s="50">
        <v>2.3702369999999999</v>
      </c>
      <c r="K55" s="50">
        <v>2.3698419999999998</v>
      </c>
      <c r="L55" s="50">
        <v>2.1221860000000001</v>
      </c>
      <c r="M55" s="50">
        <v>2.201241</v>
      </c>
      <c r="N55">
        <v>2.0897049999999999</v>
      </c>
      <c r="O55">
        <v>2.0724260000000001</v>
      </c>
      <c r="P55">
        <v>2.1393270000000002</v>
      </c>
      <c r="Q55">
        <v>2.1407039999999999</v>
      </c>
      <c r="R55">
        <v>2.082465</v>
      </c>
      <c r="S55">
        <v>2.0095420000000002</v>
      </c>
      <c r="T55">
        <v>1.94035</v>
      </c>
      <c r="U55">
        <v>1.867092</v>
      </c>
      <c r="V55">
        <v>1.781191</v>
      </c>
      <c r="W55">
        <v>1.70139</v>
      </c>
      <c r="X55">
        <v>1.613408</v>
      </c>
      <c r="Y55">
        <v>1.5266200000000001</v>
      </c>
      <c r="Z55">
        <v>1.4453149999999999</v>
      </c>
      <c r="AA55">
        <v>1.3665830000000001</v>
      </c>
      <c r="AB55">
        <v>1.2879449999999999</v>
      </c>
      <c r="AC55">
        <v>1.213328</v>
      </c>
      <c r="AD55">
        <v>1.1471070000000001</v>
      </c>
      <c r="AE55">
        <v>1.0864130000000001</v>
      </c>
      <c r="AF55">
        <v>1.0333540000000001</v>
      </c>
      <c r="AG55">
        <v>0.98581600000000003</v>
      </c>
      <c r="AH55">
        <v>0.94048799999999999</v>
      </c>
      <c r="AI55">
        <v>0.902092</v>
      </c>
      <c r="AJ55">
        <v>0.86662300000000003</v>
      </c>
      <c r="AK55">
        <v>0.83717299999999994</v>
      </c>
      <c r="AL55">
        <v>0.80949099999999996</v>
      </c>
      <c r="AM55">
        <v>0.78654400000000002</v>
      </c>
      <c r="AN55">
        <v>0.76034599999999997</v>
      </c>
      <c r="AO55">
        <v>0.741815</v>
      </c>
      <c r="AP55">
        <v>0.72767499999999996</v>
      </c>
      <c r="AQ55" s="51">
        <v>-1.7000000000000001E-2</v>
      </c>
    </row>
    <row r="56" spans="1:43" x14ac:dyDescent="0.3">
      <c r="A56" t="s">
        <v>485</v>
      </c>
      <c r="B56" t="s">
        <v>485</v>
      </c>
      <c r="C56" t="s">
        <v>486</v>
      </c>
      <c r="D56" t="s">
        <v>487</v>
      </c>
      <c r="E56" t="s">
        <v>364</v>
      </c>
      <c r="I56">
        <v>1.3619999999999999E-3</v>
      </c>
      <c r="J56">
        <v>8.8000000000000005E-3</v>
      </c>
      <c r="K56">
        <v>2.7130000000000001E-3</v>
      </c>
      <c r="L56">
        <v>2.3990000000000001E-3</v>
      </c>
      <c r="M56">
        <v>2.7780000000000001E-3</v>
      </c>
      <c r="N56">
        <v>2.4399999999999999E-3</v>
      </c>
      <c r="O56">
        <v>2.6700000000000001E-3</v>
      </c>
      <c r="P56">
        <v>2.0699999999999999E-4</v>
      </c>
      <c r="Q56">
        <v>1.93E-4</v>
      </c>
      <c r="R56">
        <v>1.8599999999999999E-4</v>
      </c>
      <c r="S56">
        <v>1.7899999999999999E-4</v>
      </c>
      <c r="T56">
        <v>1.6899999999999999E-4</v>
      </c>
      <c r="U56">
        <v>1.6100000000000001E-4</v>
      </c>
      <c r="V56">
        <v>1.4999999999999999E-4</v>
      </c>
      <c r="W56">
        <v>1.3999999999999999E-4</v>
      </c>
      <c r="X56">
        <v>1.2799999999999999E-4</v>
      </c>
      <c r="Y56">
        <v>1.16E-4</v>
      </c>
      <c r="Z56">
        <v>1.08E-4</v>
      </c>
      <c r="AA56">
        <v>1E-4</v>
      </c>
      <c r="AB56">
        <v>9.2E-5</v>
      </c>
      <c r="AC56">
        <v>8.6000000000000003E-5</v>
      </c>
      <c r="AD56">
        <v>8.0000000000000007E-5</v>
      </c>
      <c r="AE56">
        <v>7.4999999999999993E-5</v>
      </c>
      <c r="AF56">
        <v>7.2999999999999999E-5</v>
      </c>
      <c r="AG56">
        <v>6.9999999999999994E-5</v>
      </c>
      <c r="AH56">
        <v>6.7000000000000002E-5</v>
      </c>
      <c r="AI56">
        <v>6.6000000000000005E-5</v>
      </c>
      <c r="AJ56">
        <v>6.6000000000000005E-5</v>
      </c>
      <c r="AK56">
        <v>6.3E-5</v>
      </c>
      <c r="AL56">
        <v>6.2000000000000003E-5</v>
      </c>
      <c r="AM56">
        <v>6.3E-5</v>
      </c>
      <c r="AN56">
        <v>6.2000000000000003E-5</v>
      </c>
      <c r="AO56">
        <v>6.2000000000000003E-5</v>
      </c>
      <c r="AP56">
        <v>6.0999999999999999E-5</v>
      </c>
      <c r="AQ56" s="6">
        <v>3.9E-2</v>
      </c>
    </row>
    <row r="57" spans="1:43" x14ac:dyDescent="0.3">
      <c r="A57" t="s">
        <v>488</v>
      </c>
      <c r="B57" t="s">
        <v>488</v>
      </c>
      <c r="C57" t="s">
        <v>489</v>
      </c>
      <c r="D57" t="s">
        <v>490</v>
      </c>
      <c r="E57" t="s">
        <v>364</v>
      </c>
      <c r="I57">
        <v>0.86832500000000001</v>
      </c>
      <c r="J57">
        <v>0.87951000000000001</v>
      </c>
      <c r="K57">
        <v>0.88004499999999997</v>
      </c>
      <c r="L57">
        <v>0.65227999999999997</v>
      </c>
      <c r="M57">
        <v>0.69525000000000003</v>
      </c>
      <c r="N57">
        <v>0.81467699999999998</v>
      </c>
      <c r="O57">
        <v>0.86878100000000003</v>
      </c>
      <c r="P57">
        <v>0.89624599999999999</v>
      </c>
      <c r="Q57">
        <v>0.89558099999999996</v>
      </c>
      <c r="R57">
        <v>0.90306900000000001</v>
      </c>
      <c r="S57">
        <v>0.91223200000000004</v>
      </c>
      <c r="T57">
        <v>0.91923200000000005</v>
      </c>
      <c r="U57">
        <v>0.92806500000000003</v>
      </c>
      <c r="V57">
        <v>0.93568099999999998</v>
      </c>
      <c r="W57">
        <v>0.94097699999999995</v>
      </c>
      <c r="X57">
        <v>0.94745199999999996</v>
      </c>
      <c r="Y57">
        <v>0.95387100000000002</v>
      </c>
      <c r="Z57">
        <v>0.96030199999999999</v>
      </c>
      <c r="AA57">
        <v>0.96877999999999997</v>
      </c>
      <c r="AB57">
        <v>0.97738199999999997</v>
      </c>
      <c r="AC57">
        <v>0.98735600000000001</v>
      </c>
      <c r="AD57">
        <v>0.99769200000000002</v>
      </c>
      <c r="AE57">
        <v>1.0085500000000001</v>
      </c>
      <c r="AF57">
        <v>1.019555</v>
      </c>
      <c r="AG57">
        <v>1.0296190000000001</v>
      </c>
      <c r="AH57">
        <v>1.040656</v>
      </c>
      <c r="AI57">
        <v>1.0503979999999999</v>
      </c>
      <c r="AJ57">
        <v>1.0597319999999999</v>
      </c>
      <c r="AK57">
        <v>1.0694729999999999</v>
      </c>
      <c r="AL57">
        <v>1.078317</v>
      </c>
      <c r="AM57">
        <v>1.0873809999999999</v>
      </c>
      <c r="AN57">
        <v>1.0971820000000001</v>
      </c>
      <c r="AO57">
        <v>1.1075710000000001</v>
      </c>
      <c r="AP57">
        <v>1.1191880000000001</v>
      </c>
      <c r="AQ57" s="6">
        <v>0.01</v>
      </c>
    </row>
    <row r="58" spans="1:43" s="50" customFormat="1" x14ac:dyDescent="0.3">
      <c r="A58" t="s">
        <v>365</v>
      </c>
      <c r="B58" s="50" t="s">
        <v>365</v>
      </c>
      <c r="C58" s="50" t="s">
        <v>491</v>
      </c>
      <c r="D58" s="50" t="s">
        <v>492</v>
      </c>
      <c r="E58" s="50" t="s">
        <v>364</v>
      </c>
      <c r="F58" s="50">
        <v>0.755</v>
      </c>
      <c r="G58" s="50">
        <v>0.76200000000000001</v>
      </c>
      <c r="H58" s="50">
        <v>0.748</v>
      </c>
      <c r="I58" s="50">
        <v>0.76253400000000005</v>
      </c>
      <c r="J58" s="50">
        <v>0.77178500000000005</v>
      </c>
      <c r="K58" s="50">
        <v>0.80837499999999995</v>
      </c>
      <c r="L58" s="50">
        <v>0.70316699999999999</v>
      </c>
      <c r="M58" s="50">
        <v>0.73215699999999995</v>
      </c>
      <c r="N58">
        <v>0.75297700000000001</v>
      </c>
      <c r="O58">
        <v>0.77796600000000005</v>
      </c>
      <c r="P58">
        <v>1.026381</v>
      </c>
      <c r="Q58">
        <v>1.0351900000000001</v>
      </c>
      <c r="R58">
        <v>1.0305899999999999</v>
      </c>
      <c r="S58">
        <v>1.020969</v>
      </c>
      <c r="T58">
        <v>1.013072</v>
      </c>
      <c r="U58">
        <v>1.003096</v>
      </c>
      <c r="V58">
        <v>0.99104700000000001</v>
      </c>
      <c r="W58">
        <v>0.97390500000000002</v>
      </c>
      <c r="X58">
        <v>0.95226900000000003</v>
      </c>
      <c r="Y58">
        <v>0.92801800000000001</v>
      </c>
      <c r="Z58">
        <v>0.90734599999999999</v>
      </c>
      <c r="AA58">
        <v>0.88775599999999999</v>
      </c>
      <c r="AB58">
        <v>0.87129500000000004</v>
      </c>
      <c r="AC58">
        <v>0.85578399999999999</v>
      </c>
      <c r="AD58">
        <v>0.84241999999999995</v>
      </c>
      <c r="AE58">
        <v>0.83046600000000004</v>
      </c>
      <c r="AF58">
        <v>0.81933699999999998</v>
      </c>
      <c r="AG58">
        <v>0.80862000000000001</v>
      </c>
      <c r="AH58">
        <v>0.80013599999999996</v>
      </c>
      <c r="AI58">
        <v>0.79187700000000005</v>
      </c>
      <c r="AJ58">
        <v>0.78486</v>
      </c>
      <c r="AK58">
        <v>0.78010500000000005</v>
      </c>
      <c r="AL58">
        <v>0.77650699999999995</v>
      </c>
      <c r="AM58">
        <v>0.77431399999999995</v>
      </c>
      <c r="AN58">
        <v>0.77320500000000003</v>
      </c>
      <c r="AO58">
        <v>0.77377399999999996</v>
      </c>
      <c r="AP58">
        <v>0.77432800000000002</v>
      </c>
      <c r="AQ58" s="51">
        <v>3.0000000000000001E-3</v>
      </c>
    </row>
    <row r="59" spans="1:43" s="50" customFormat="1" x14ac:dyDescent="0.3">
      <c r="A59" t="s">
        <v>400</v>
      </c>
      <c r="B59" s="50" t="s">
        <v>400</v>
      </c>
      <c r="C59" s="50" t="s">
        <v>493</v>
      </c>
      <c r="D59" s="50" t="s">
        <v>494</v>
      </c>
      <c r="E59" s="50" t="s">
        <v>364</v>
      </c>
      <c r="F59" s="50">
        <v>0.158</v>
      </c>
      <c r="G59" s="50">
        <v>0.13300000000000001</v>
      </c>
      <c r="H59" s="50">
        <v>0.26600000000000001</v>
      </c>
      <c r="I59" s="50">
        <v>0.29300700000000002</v>
      </c>
      <c r="J59" s="50">
        <v>0.27204600000000001</v>
      </c>
      <c r="K59" s="50">
        <v>0.21701000000000001</v>
      </c>
      <c r="L59" s="50">
        <v>0.17138700000000001</v>
      </c>
      <c r="M59" s="50">
        <v>0.28410200000000002</v>
      </c>
      <c r="N59">
        <v>0.30138399999999999</v>
      </c>
      <c r="O59">
        <v>0.233686</v>
      </c>
      <c r="P59">
        <v>0.23621300000000001</v>
      </c>
      <c r="Q59">
        <v>0.22062999999999999</v>
      </c>
      <c r="R59">
        <v>0.218893</v>
      </c>
      <c r="S59">
        <v>0.22267200000000001</v>
      </c>
      <c r="T59">
        <v>0.225137</v>
      </c>
      <c r="U59">
        <v>0.228296</v>
      </c>
      <c r="V59">
        <v>0.23181099999999999</v>
      </c>
      <c r="W59">
        <v>0.23436000000000001</v>
      </c>
      <c r="X59">
        <v>0.23614199999999999</v>
      </c>
      <c r="Y59">
        <v>0.237618</v>
      </c>
      <c r="Z59">
        <v>0.24008299999999999</v>
      </c>
      <c r="AA59">
        <v>0.242203</v>
      </c>
      <c r="AB59">
        <v>0.24406600000000001</v>
      </c>
      <c r="AC59">
        <v>0.246337</v>
      </c>
      <c r="AD59">
        <v>0.24801599999999999</v>
      </c>
      <c r="AE59">
        <v>0.25017699999999998</v>
      </c>
      <c r="AF59">
        <v>0.25217699999999998</v>
      </c>
      <c r="AG59">
        <v>0.25390400000000002</v>
      </c>
      <c r="AH59">
        <v>0.25504700000000002</v>
      </c>
      <c r="AI59">
        <v>0.25687599999999999</v>
      </c>
      <c r="AJ59">
        <v>0.25868400000000003</v>
      </c>
      <c r="AK59">
        <v>0.26010299999999997</v>
      </c>
      <c r="AL59">
        <v>0.26172400000000001</v>
      </c>
      <c r="AM59">
        <v>0.263067</v>
      </c>
      <c r="AN59">
        <v>0.26489600000000002</v>
      </c>
      <c r="AO59">
        <v>0.26670300000000002</v>
      </c>
      <c r="AP59">
        <v>0.26819399999999999</v>
      </c>
      <c r="AQ59" s="51">
        <v>-8.9999999999999993E-3</v>
      </c>
    </row>
    <row r="60" spans="1:43" x14ac:dyDescent="0.3">
      <c r="A60" t="s">
        <v>435</v>
      </c>
      <c r="B60" t="s">
        <v>435</v>
      </c>
      <c r="C60" t="s">
        <v>495</v>
      </c>
      <c r="D60" t="s">
        <v>496</v>
      </c>
      <c r="E60" t="s">
        <v>364</v>
      </c>
      <c r="I60">
        <v>2.5968000000000001E-2</v>
      </c>
      <c r="J60">
        <v>2.5838E-2</v>
      </c>
      <c r="K60">
        <v>2.5433000000000001E-2</v>
      </c>
      <c r="L60">
        <v>2.3924999999999998E-2</v>
      </c>
      <c r="M60">
        <v>2.3576E-2</v>
      </c>
      <c r="N60">
        <v>2.2435E-2</v>
      </c>
      <c r="O60">
        <v>2.2431E-2</v>
      </c>
      <c r="P60">
        <v>2.3338999999999999E-2</v>
      </c>
      <c r="Q60">
        <v>2.3394000000000002E-2</v>
      </c>
      <c r="R60">
        <v>2.3486E-2</v>
      </c>
      <c r="S60">
        <v>2.3555E-2</v>
      </c>
      <c r="T60">
        <v>2.3587E-2</v>
      </c>
      <c r="U60">
        <v>2.3605999999999999E-2</v>
      </c>
      <c r="V60">
        <v>2.3626000000000001E-2</v>
      </c>
      <c r="W60">
        <v>2.3619999999999999E-2</v>
      </c>
      <c r="X60">
        <v>2.3609999999999999E-2</v>
      </c>
      <c r="Y60">
        <v>2.3612999999999999E-2</v>
      </c>
      <c r="Z60">
        <v>2.3625E-2</v>
      </c>
      <c r="AA60">
        <v>2.3636000000000001E-2</v>
      </c>
      <c r="AB60">
        <v>2.3644999999999999E-2</v>
      </c>
      <c r="AC60">
        <v>2.3657999999999998E-2</v>
      </c>
      <c r="AD60">
        <v>2.3671000000000001E-2</v>
      </c>
      <c r="AE60">
        <v>2.3691E-2</v>
      </c>
      <c r="AF60">
        <v>2.3717999999999999E-2</v>
      </c>
      <c r="AG60">
        <v>2.3736E-2</v>
      </c>
      <c r="AH60">
        <v>2.375E-2</v>
      </c>
      <c r="AI60">
        <v>2.3755999999999999E-2</v>
      </c>
      <c r="AJ60">
        <v>2.3758999999999999E-2</v>
      </c>
      <c r="AK60">
        <v>2.3765999999999999E-2</v>
      </c>
      <c r="AL60">
        <v>2.3772000000000001E-2</v>
      </c>
      <c r="AM60">
        <v>2.3769999999999999E-2</v>
      </c>
      <c r="AN60">
        <v>2.3758000000000001E-2</v>
      </c>
      <c r="AO60">
        <v>2.3743E-2</v>
      </c>
      <c r="AP60">
        <v>2.3726000000000001E-2</v>
      </c>
      <c r="AQ60" s="6">
        <v>-1E-3</v>
      </c>
    </row>
    <row r="61" spans="1:43" x14ac:dyDescent="0.3">
      <c r="A61" t="s">
        <v>368</v>
      </c>
      <c r="B61" t="s">
        <v>368</v>
      </c>
      <c r="C61" t="s">
        <v>497</v>
      </c>
      <c r="D61" t="s">
        <v>498</v>
      </c>
      <c r="E61" t="s">
        <v>364</v>
      </c>
      <c r="I61">
        <v>4.3237500000000004</v>
      </c>
      <c r="J61">
        <v>4.3213249999999999</v>
      </c>
      <c r="K61">
        <v>4.302575</v>
      </c>
      <c r="L61">
        <v>3.6739310000000001</v>
      </c>
      <c r="M61">
        <v>3.937481</v>
      </c>
      <c r="N61">
        <v>3.9824809999999999</v>
      </c>
      <c r="O61">
        <v>3.9766490000000001</v>
      </c>
      <c r="P61">
        <v>4.3227029999999997</v>
      </c>
      <c r="Q61">
        <v>4.3166890000000002</v>
      </c>
      <c r="R61">
        <v>4.2596759999999998</v>
      </c>
      <c r="S61">
        <v>4.1901250000000001</v>
      </c>
      <c r="T61">
        <v>4.1225110000000003</v>
      </c>
      <c r="U61">
        <v>4.0512600000000001</v>
      </c>
      <c r="V61">
        <v>3.9644330000000001</v>
      </c>
      <c r="W61">
        <v>3.8752960000000001</v>
      </c>
      <c r="X61">
        <v>3.7738849999999999</v>
      </c>
      <c r="Y61">
        <v>3.670703</v>
      </c>
      <c r="Z61">
        <v>3.5775980000000001</v>
      </c>
      <c r="AA61">
        <v>3.4898560000000001</v>
      </c>
      <c r="AB61">
        <v>3.4051999999999998</v>
      </c>
      <c r="AC61">
        <v>3.327299</v>
      </c>
      <c r="AD61">
        <v>3.2597149999999999</v>
      </c>
      <c r="AE61">
        <v>3.2000799999999998</v>
      </c>
      <c r="AF61">
        <v>3.1488969999999998</v>
      </c>
      <c r="AG61">
        <v>3.1024259999999999</v>
      </c>
      <c r="AH61">
        <v>3.0607880000000001</v>
      </c>
      <c r="AI61">
        <v>3.0256889999999999</v>
      </c>
      <c r="AJ61">
        <v>2.9943279999999999</v>
      </c>
      <c r="AK61">
        <v>2.9712740000000002</v>
      </c>
      <c r="AL61">
        <v>2.9504540000000001</v>
      </c>
      <c r="AM61">
        <v>2.935708</v>
      </c>
      <c r="AN61">
        <v>2.9200089999999999</v>
      </c>
      <c r="AO61">
        <v>2.914218</v>
      </c>
      <c r="AP61">
        <v>2.9137140000000001</v>
      </c>
      <c r="AQ61" s="6">
        <v>-5.0000000000000001E-3</v>
      </c>
    </row>
    <row r="62" spans="1:43" x14ac:dyDescent="0.3">
      <c r="A62" t="s">
        <v>499</v>
      </c>
      <c r="B62" t="s">
        <v>499</v>
      </c>
      <c r="C62" t="s">
        <v>500</v>
      </c>
      <c r="D62" t="s">
        <v>501</v>
      </c>
      <c r="E62" t="s">
        <v>364</v>
      </c>
      <c r="I62">
        <v>4.1980999999999997E-2</v>
      </c>
      <c r="J62">
        <v>4.3070999999999998E-2</v>
      </c>
      <c r="K62">
        <v>4.4200999999999997E-2</v>
      </c>
      <c r="L62">
        <v>4.6810999999999998E-2</v>
      </c>
      <c r="M62">
        <v>4.5700999999999999E-2</v>
      </c>
      <c r="N62">
        <v>4.8576000000000001E-2</v>
      </c>
      <c r="O62">
        <v>4.9717999999999998E-2</v>
      </c>
      <c r="P62">
        <v>4.7454999999999997E-2</v>
      </c>
      <c r="Q62">
        <v>4.4574999999999997E-2</v>
      </c>
      <c r="R62">
        <v>4.2626999999999998E-2</v>
      </c>
      <c r="S62">
        <v>4.2537999999999999E-2</v>
      </c>
      <c r="T62">
        <v>4.2146000000000003E-2</v>
      </c>
      <c r="U62">
        <v>4.1956E-2</v>
      </c>
      <c r="V62">
        <v>4.1846000000000001E-2</v>
      </c>
      <c r="W62">
        <v>4.2014000000000003E-2</v>
      </c>
      <c r="X62">
        <v>4.2009999999999999E-2</v>
      </c>
      <c r="Y62">
        <v>4.1488999999999998E-2</v>
      </c>
      <c r="Z62">
        <v>4.1181000000000002E-2</v>
      </c>
      <c r="AA62">
        <v>4.1062000000000001E-2</v>
      </c>
      <c r="AB62">
        <v>4.0770000000000001E-2</v>
      </c>
      <c r="AC62">
        <v>4.0618000000000001E-2</v>
      </c>
      <c r="AD62">
        <v>4.0670999999999999E-2</v>
      </c>
      <c r="AE62">
        <v>4.0618000000000001E-2</v>
      </c>
      <c r="AF62">
        <v>4.0455999999999999E-2</v>
      </c>
      <c r="AG62">
        <v>4.0468999999999998E-2</v>
      </c>
      <c r="AH62">
        <v>4.0381E-2</v>
      </c>
      <c r="AI62">
        <v>4.0307000000000003E-2</v>
      </c>
      <c r="AJ62">
        <v>4.0300999999999997E-2</v>
      </c>
      <c r="AK62">
        <v>4.0305000000000001E-2</v>
      </c>
      <c r="AL62">
        <v>4.0231999999999997E-2</v>
      </c>
      <c r="AM62">
        <v>4.0286000000000002E-2</v>
      </c>
      <c r="AN62">
        <v>4.0437000000000001E-2</v>
      </c>
      <c r="AO62">
        <v>4.0704999999999998E-2</v>
      </c>
      <c r="AP62">
        <v>4.0939999999999997E-2</v>
      </c>
      <c r="AQ62" s="6">
        <v>5.0000000000000001E-3</v>
      </c>
    </row>
    <row r="63" spans="1:43" x14ac:dyDescent="0.3">
      <c r="A63" t="s">
        <v>502</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s="6"/>
    </row>
    <row r="64" spans="1:43" s="50" customFormat="1" x14ac:dyDescent="0.3">
      <c r="A64" t="s">
        <v>503</v>
      </c>
      <c r="B64" s="50" t="s">
        <v>503</v>
      </c>
      <c r="C64" s="50" t="s">
        <v>504</v>
      </c>
      <c r="D64" s="50" t="s">
        <v>505</v>
      </c>
      <c r="E64" s="50" t="s">
        <v>364</v>
      </c>
      <c r="F64" s="50">
        <v>8.9999999999999993E-3</v>
      </c>
      <c r="G64" s="50">
        <v>0.01</v>
      </c>
      <c r="H64" s="50">
        <v>1.7999999999999999E-2</v>
      </c>
      <c r="I64" s="50">
        <v>1.8214999999999999E-2</v>
      </c>
      <c r="J64" s="50">
        <v>2.1329999999999998E-2</v>
      </c>
      <c r="K64" s="50">
        <v>2.5381999999999998E-2</v>
      </c>
      <c r="L64" s="50">
        <v>2.0253E-2</v>
      </c>
      <c r="M64" s="50">
        <v>3.4645000000000002E-2</v>
      </c>
      <c r="N64">
        <v>2.8725000000000001E-2</v>
      </c>
      <c r="O64">
        <v>3.1459000000000001E-2</v>
      </c>
      <c r="P64">
        <v>1.9535E-2</v>
      </c>
      <c r="Q64">
        <v>2.0681999999999999E-2</v>
      </c>
      <c r="R64">
        <v>2.1096E-2</v>
      </c>
      <c r="S64">
        <v>2.1173999999999998E-2</v>
      </c>
      <c r="T64">
        <v>2.1246000000000001E-2</v>
      </c>
      <c r="U64">
        <v>2.1148E-2</v>
      </c>
      <c r="V64">
        <v>2.1004999999999999E-2</v>
      </c>
      <c r="W64">
        <v>2.0861000000000001E-2</v>
      </c>
      <c r="X64">
        <v>2.0451E-2</v>
      </c>
      <c r="Y64">
        <v>1.9939999999999999E-2</v>
      </c>
      <c r="Z64">
        <v>1.9460999999999999E-2</v>
      </c>
      <c r="AA64">
        <v>1.9082999999999999E-2</v>
      </c>
      <c r="AB64">
        <v>1.8880999999999998E-2</v>
      </c>
      <c r="AC64">
        <v>1.8636E-2</v>
      </c>
      <c r="AD64">
        <v>1.8602E-2</v>
      </c>
      <c r="AE64">
        <v>1.8709E-2</v>
      </c>
      <c r="AF64">
        <v>1.9095999999999998E-2</v>
      </c>
      <c r="AG64">
        <v>1.9504000000000001E-2</v>
      </c>
      <c r="AH64">
        <v>2.0022000000000002E-2</v>
      </c>
      <c r="AI64">
        <v>2.0722999999999998E-2</v>
      </c>
      <c r="AJ64">
        <v>2.1333000000000001E-2</v>
      </c>
      <c r="AK64">
        <v>2.2209E-2</v>
      </c>
      <c r="AL64">
        <v>2.3171000000000001E-2</v>
      </c>
      <c r="AM64">
        <v>2.4022999999999999E-2</v>
      </c>
      <c r="AN64">
        <v>2.5104999999999999E-2</v>
      </c>
      <c r="AO64">
        <v>2.6280999999999999E-2</v>
      </c>
      <c r="AP64">
        <v>2.7526999999999999E-2</v>
      </c>
      <c r="AQ64" s="51">
        <v>4.8000000000000001E-2</v>
      </c>
    </row>
    <row r="65" spans="1:43" x14ac:dyDescent="0.3">
      <c r="A65" t="s">
        <v>506</v>
      </c>
      <c r="B65" t="s">
        <v>506</v>
      </c>
      <c r="C65" t="s">
        <v>507</v>
      </c>
      <c r="D65" t="s">
        <v>508</v>
      </c>
      <c r="E65" t="s">
        <v>364</v>
      </c>
      <c r="I65">
        <v>9.2999999999999997E-5</v>
      </c>
      <c r="J65">
        <v>1.92E-4</v>
      </c>
      <c r="K65">
        <v>9.8999999999999994E-5</v>
      </c>
      <c r="L65">
        <v>2.2100000000000001E-4</v>
      </c>
      <c r="M65">
        <v>3.3199999999999999E-4</v>
      </c>
      <c r="N65">
        <v>4.4000000000000002E-4</v>
      </c>
      <c r="O65">
        <v>5.3399999999999997E-4</v>
      </c>
      <c r="P65">
        <v>4.6000000000000001E-4</v>
      </c>
      <c r="Q65">
        <v>6.7000000000000002E-4</v>
      </c>
      <c r="R65">
        <v>9.8900000000000008E-4</v>
      </c>
      <c r="S65">
        <v>1.464E-3</v>
      </c>
      <c r="T65">
        <v>2.1770000000000001E-3</v>
      </c>
      <c r="U65">
        <v>3.0200000000000001E-3</v>
      </c>
      <c r="V65">
        <v>3.9950000000000003E-3</v>
      </c>
      <c r="W65">
        <v>6.2119999999999996E-3</v>
      </c>
      <c r="X65">
        <v>1.1332E-2</v>
      </c>
      <c r="Y65">
        <v>1.6052E-2</v>
      </c>
      <c r="Z65">
        <v>2.0417000000000001E-2</v>
      </c>
      <c r="AA65">
        <v>2.4452000000000002E-2</v>
      </c>
      <c r="AB65">
        <v>2.8322E-2</v>
      </c>
      <c r="AC65">
        <v>3.1994000000000002E-2</v>
      </c>
      <c r="AD65">
        <v>3.5511000000000001E-2</v>
      </c>
      <c r="AE65">
        <v>3.8885999999999997E-2</v>
      </c>
      <c r="AF65">
        <v>4.2091000000000003E-2</v>
      </c>
      <c r="AG65">
        <v>4.5059000000000002E-2</v>
      </c>
      <c r="AH65">
        <v>4.7842999999999997E-2</v>
      </c>
      <c r="AI65">
        <v>5.0335999999999999E-2</v>
      </c>
      <c r="AJ65">
        <v>5.2644000000000003E-2</v>
      </c>
      <c r="AK65">
        <v>5.4857000000000003E-2</v>
      </c>
      <c r="AL65">
        <v>5.6862999999999997E-2</v>
      </c>
      <c r="AM65">
        <v>5.8692000000000001E-2</v>
      </c>
      <c r="AN65">
        <v>6.0468000000000001E-2</v>
      </c>
      <c r="AO65">
        <v>6.2216E-2</v>
      </c>
      <c r="AP65">
        <v>6.3769000000000006E-2</v>
      </c>
      <c r="AQ65" s="6">
        <v>0.11</v>
      </c>
    </row>
    <row r="66" spans="1:43" s="50" customFormat="1" x14ac:dyDescent="0.3">
      <c r="A66" t="s">
        <v>376</v>
      </c>
      <c r="B66" s="50" t="s">
        <v>176</v>
      </c>
      <c r="C66" s="50" t="s">
        <v>509</v>
      </c>
      <c r="D66" s="50" t="s">
        <v>510</v>
      </c>
      <c r="E66" s="50" t="s">
        <v>364</v>
      </c>
      <c r="F66" s="50">
        <v>3.0000000000000001E-3</v>
      </c>
      <c r="G66" s="50">
        <v>4.0000000000000001E-3</v>
      </c>
      <c r="H66" s="50">
        <v>5.0000000000000001E-3</v>
      </c>
      <c r="I66" s="50">
        <v>8.6390000000000008E-3</v>
      </c>
      <c r="J66" s="50">
        <v>9.9109999999999997E-3</v>
      </c>
      <c r="K66" s="50">
        <v>1.0625000000000001E-2</v>
      </c>
      <c r="L66" s="50">
        <v>9.9310000000000006E-3</v>
      </c>
      <c r="M66" s="50">
        <v>1.3474E-2</v>
      </c>
      <c r="N66">
        <v>1.8065000000000001E-2</v>
      </c>
      <c r="O66">
        <v>2.2817E-2</v>
      </c>
      <c r="P66">
        <v>2.8479999999999998E-2</v>
      </c>
      <c r="Q66">
        <v>3.8543000000000001E-2</v>
      </c>
      <c r="R66">
        <v>5.1941000000000001E-2</v>
      </c>
      <c r="S66">
        <v>6.8423999999999999E-2</v>
      </c>
      <c r="T66">
        <v>8.8547000000000001E-2</v>
      </c>
      <c r="U66">
        <v>0.10943799999999999</v>
      </c>
      <c r="V66">
        <v>0.13504099999999999</v>
      </c>
      <c r="W66">
        <v>0.16103500000000001</v>
      </c>
      <c r="X66">
        <v>0.19092200000000001</v>
      </c>
      <c r="Y66">
        <v>0.221055</v>
      </c>
      <c r="Z66">
        <v>0.25073600000000001</v>
      </c>
      <c r="AA66">
        <v>0.278783</v>
      </c>
      <c r="AB66">
        <v>0.305336</v>
      </c>
      <c r="AC66">
        <v>0.33077899999999999</v>
      </c>
      <c r="AD66">
        <v>0.35443799999999998</v>
      </c>
      <c r="AE66">
        <v>0.37647700000000001</v>
      </c>
      <c r="AF66">
        <v>0.39657599999999998</v>
      </c>
      <c r="AG66">
        <v>0.41513100000000003</v>
      </c>
      <c r="AH66">
        <v>0.432093</v>
      </c>
      <c r="AI66">
        <v>0.44692500000000002</v>
      </c>
      <c r="AJ66">
        <v>0.46019300000000002</v>
      </c>
      <c r="AK66">
        <v>0.47231800000000002</v>
      </c>
      <c r="AL66">
        <v>0.48299900000000001</v>
      </c>
      <c r="AM66">
        <v>0.49339499999999997</v>
      </c>
      <c r="AN66">
        <v>0.50211399999999995</v>
      </c>
      <c r="AO66">
        <v>0.51022400000000001</v>
      </c>
      <c r="AP66">
        <v>0.51818500000000001</v>
      </c>
      <c r="AQ66" s="51">
        <v>7.2999999999999995E-2</v>
      </c>
    </row>
    <row r="67" spans="1:43" x14ac:dyDescent="0.3">
      <c r="A67" t="s">
        <v>379</v>
      </c>
      <c r="B67" t="s">
        <v>379</v>
      </c>
      <c r="C67" t="s">
        <v>511</v>
      </c>
      <c r="D67" t="s">
        <v>512</v>
      </c>
      <c r="E67" t="s">
        <v>364</v>
      </c>
      <c r="I67">
        <v>4.3926769999999999</v>
      </c>
      <c r="J67">
        <v>4.395829</v>
      </c>
      <c r="K67">
        <v>4.3828820000000004</v>
      </c>
      <c r="L67">
        <v>3.751147</v>
      </c>
      <c r="M67">
        <v>4.0316330000000002</v>
      </c>
      <c r="N67">
        <v>4.0782860000000003</v>
      </c>
      <c r="O67">
        <v>4.0811770000000003</v>
      </c>
      <c r="P67">
        <v>1.8142999999999999E-2</v>
      </c>
      <c r="Q67">
        <v>2.4955999999999999E-2</v>
      </c>
      <c r="R67">
        <v>3.397E-2</v>
      </c>
      <c r="S67">
        <v>4.4727999999999997E-2</v>
      </c>
      <c r="T67">
        <v>5.7494999999999997E-2</v>
      </c>
      <c r="U67">
        <v>6.9987999999999995E-2</v>
      </c>
      <c r="V67">
        <v>8.4693000000000004E-2</v>
      </c>
      <c r="W67">
        <v>9.8368999999999998E-2</v>
      </c>
      <c r="X67">
        <v>0.112968</v>
      </c>
      <c r="Y67">
        <v>0.12650600000000001</v>
      </c>
      <c r="Z67">
        <v>0.14014099999999999</v>
      </c>
      <c r="AA67">
        <v>0.15265500000000001</v>
      </c>
      <c r="AB67">
        <v>0.16426199999999999</v>
      </c>
      <c r="AC67">
        <v>0.17516699999999999</v>
      </c>
      <c r="AD67">
        <v>0.18517700000000001</v>
      </c>
      <c r="AE67">
        <v>0.194273</v>
      </c>
      <c r="AF67">
        <v>0.20241799999999999</v>
      </c>
      <c r="AG67">
        <v>0.20982600000000001</v>
      </c>
      <c r="AH67">
        <v>0.21643599999999999</v>
      </c>
      <c r="AI67">
        <v>0.22217400000000001</v>
      </c>
      <c r="AJ67">
        <v>0.22723299999999999</v>
      </c>
      <c r="AK67">
        <v>0.231845</v>
      </c>
      <c r="AL67">
        <v>0.235898</v>
      </c>
      <c r="AM67">
        <v>0.23966899999999999</v>
      </c>
      <c r="AN67">
        <v>0.24285100000000001</v>
      </c>
      <c r="AO67">
        <v>0.24581600000000001</v>
      </c>
      <c r="AP67">
        <v>0.24873200000000001</v>
      </c>
      <c r="AQ67" s="6">
        <v>-4.0000000000000001E-3</v>
      </c>
    </row>
    <row r="68" spans="1:43" x14ac:dyDescent="0.3">
      <c r="A68" t="s">
        <v>382</v>
      </c>
      <c r="B68" t="s">
        <v>382</v>
      </c>
      <c r="C68" t="s">
        <v>513</v>
      </c>
      <c r="D68" t="s">
        <v>514</v>
      </c>
      <c r="E68" t="s">
        <v>364</v>
      </c>
      <c r="I68">
        <v>1.3082E-2</v>
      </c>
      <c r="J68">
        <v>1.5386E-2</v>
      </c>
      <c r="K68">
        <v>1.5786999999999999E-2</v>
      </c>
      <c r="L68">
        <v>1.4066E-2</v>
      </c>
      <c r="M68">
        <v>1.8079000000000001E-2</v>
      </c>
      <c r="N68">
        <v>2.4414999999999999E-2</v>
      </c>
      <c r="O68">
        <v>3.2395E-2</v>
      </c>
      <c r="P68">
        <v>7.5139999999999998E-3</v>
      </c>
      <c r="Q68">
        <v>1.0628E-2</v>
      </c>
      <c r="R68">
        <v>1.4966E-2</v>
      </c>
      <c r="S68">
        <v>2.0684999999999999E-2</v>
      </c>
      <c r="T68">
        <v>2.7942000000000002E-2</v>
      </c>
      <c r="U68">
        <v>3.6242999999999997E-2</v>
      </c>
      <c r="V68">
        <v>4.7060999999999999E-2</v>
      </c>
      <c r="W68">
        <v>5.9319999999999998E-2</v>
      </c>
      <c r="X68">
        <v>7.4561000000000002E-2</v>
      </c>
      <c r="Y68">
        <v>9.1117000000000004E-2</v>
      </c>
      <c r="Z68">
        <v>0.107131</v>
      </c>
      <c r="AA68">
        <v>0.12263499999999999</v>
      </c>
      <c r="AB68">
        <v>0.137549</v>
      </c>
      <c r="AC68">
        <v>0.15205399999999999</v>
      </c>
      <c r="AD68">
        <v>0.16567000000000001</v>
      </c>
      <c r="AE68">
        <v>0.17857899999999999</v>
      </c>
      <c r="AF68">
        <v>0.190498</v>
      </c>
      <c r="AG68">
        <v>0.20161699999999999</v>
      </c>
      <c r="AH68">
        <v>0.21193799999999999</v>
      </c>
      <c r="AI68">
        <v>0.22100500000000001</v>
      </c>
      <c r="AJ68">
        <v>0.22919700000000001</v>
      </c>
      <c r="AK68">
        <v>0.236683</v>
      </c>
      <c r="AL68">
        <v>0.24328900000000001</v>
      </c>
      <c r="AM68">
        <v>0.249886</v>
      </c>
      <c r="AN68">
        <v>0.25539400000000001</v>
      </c>
      <c r="AO68">
        <v>0.26050499999999999</v>
      </c>
      <c r="AP68">
        <v>0.26551000000000002</v>
      </c>
      <c r="AQ68" s="6">
        <v>7.0999999999999994E-2</v>
      </c>
    </row>
    <row r="69" spans="1:43" x14ac:dyDescent="0.3">
      <c r="A69" t="s">
        <v>169</v>
      </c>
      <c r="B69" t="s">
        <v>169</v>
      </c>
      <c r="C69" t="s">
        <v>515</v>
      </c>
      <c r="D69" t="s">
        <v>516</v>
      </c>
      <c r="E69" t="s">
        <v>364</v>
      </c>
      <c r="I69">
        <v>4.4057579999999996</v>
      </c>
      <c r="J69">
        <v>4.4112140000000002</v>
      </c>
      <c r="K69">
        <v>4.3986689999999999</v>
      </c>
      <c r="L69">
        <v>3.7652130000000001</v>
      </c>
      <c r="M69">
        <v>4.0497120000000004</v>
      </c>
      <c r="N69">
        <v>4.1027019999999998</v>
      </c>
      <c r="O69">
        <v>4.1135719999999996</v>
      </c>
      <c r="P69">
        <v>2.823E-3</v>
      </c>
      <c r="Q69">
        <v>2.9580000000000001E-3</v>
      </c>
      <c r="R69">
        <v>3.0049999999999999E-3</v>
      </c>
      <c r="S69">
        <v>3.0119999999999999E-3</v>
      </c>
      <c r="T69">
        <v>3.1099999999999999E-3</v>
      </c>
      <c r="U69">
        <v>3.2070000000000002E-3</v>
      </c>
      <c r="V69">
        <v>3.2859999999999999E-3</v>
      </c>
      <c r="W69">
        <v>3.3449999999999999E-3</v>
      </c>
      <c r="X69">
        <v>3.3930000000000002E-3</v>
      </c>
      <c r="Y69">
        <v>3.431E-3</v>
      </c>
      <c r="Z69">
        <v>3.4650000000000002E-3</v>
      </c>
      <c r="AA69">
        <v>3.493E-3</v>
      </c>
      <c r="AB69">
        <v>3.5239999999999998E-3</v>
      </c>
      <c r="AC69">
        <v>3.5590000000000001E-3</v>
      </c>
      <c r="AD69">
        <v>3.5920000000000001E-3</v>
      </c>
      <c r="AE69">
        <v>3.6240000000000001E-3</v>
      </c>
      <c r="AF69">
        <v>3.6600000000000001E-3</v>
      </c>
      <c r="AG69">
        <v>3.6879999999999999E-3</v>
      </c>
      <c r="AH69">
        <v>3.7200000000000002E-3</v>
      </c>
      <c r="AI69">
        <v>3.7460000000000002E-3</v>
      </c>
      <c r="AJ69">
        <v>3.764E-3</v>
      </c>
      <c r="AK69">
        <v>3.79E-3</v>
      </c>
      <c r="AL69">
        <v>3.813E-3</v>
      </c>
      <c r="AM69">
        <v>3.8400000000000001E-3</v>
      </c>
      <c r="AN69">
        <v>3.8700000000000002E-3</v>
      </c>
      <c r="AO69">
        <v>3.9029999999999998E-3</v>
      </c>
      <c r="AP69">
        <v>3.9420000000000002E-3</v>
      </c>
      <c r="AQ69" s="6">
        <v>-3.0000000000000001E-3</v>
      </c>
    </row>
    <row r="70" spans="1:43" x14ac:dyDescent="0.3">
      <c r="A70" t="s">
        <v>517</v>
      </c>
      <c r="B70" t="s">
        <v>517</v>
      </c>
      <c r="D70" t="s">
        <v>518</v>
      </c>
      <c r="P70">
        <v>4.4186329999999998</v>
      </c>
      <c r="Q70">
        <v>4.4211590000000003</v>
      </c>
      <c r="R70">
        <v>4.376328</v>
      </c>
      <c r="S70">
        <v>4.3237259999999997</v>
      </c>
      <c r="T70">
        <v>4.2766270000000004</v>
      </c>
      <c r="U70">
        <v>4.2268210000000002</v>
      </c>
      <c r="V70">
        <v>4.1663189999999997</v>
      </c>
      <c r="W70">
        <v>4.1054170000000001</v>
      </c>
      <c r="X70">
        <v>4.0385989999999996</v>
      </c>
      <c r="Y70">
        <v>3.9692379999999998</v>
      </c>
      <c r="Z70">
        <v>3.9093930000000001</v>
      </c>
      <c r="AA70">
        <v>3.8532350000000002</v>
      </c>
      <c r="AB70">
        <v>3.798508</v>
      </c>
      <c r="AC70">
        <v>3.7493259999999999</v>
      </c>
      <c r="AD70">
        <v>3.708936</v>
      </c>
      <c r="AE70">
        <v>3.6747700000000001</v>
      </c>
      <c r="AF70">
        <v>3.647116</v>
      </c>
      <c r="AG70">
        <v>3.6225879999999999</v>
      </c>
      <c r="AH70">
        <v>3.6011259999999998</v>
      </c>
      <c r="AI70">
        <v>3.5839799999999999</v>
      </c>
      <c r="AJ70">
        <v>3.5687989999999998</v>
      </c>
      <c r="AK70">
        <v>3.5609630000000001</v>
      </c>
      <c r="AL70">
        <v>3.5537179999999999</v>
      </c>
      <c r="AM70">
        <v>3.5521039999999999</v>
      </c>
      <c r="AN70">
        <v>3.548133</v>
      </c>
      <c r="AO70">
        <v>3.5536439999999998</v>
      </c>
      <c r="AP70">
        <v>3.5641340000000001</v>
      </c>
    </row>
    <row r="71" spans="1:43" x14ac:dyDescent="0.3">
      <c r="A71" t="s">
        <v>169</v>
      </c>
      <c r="B71" t="s">
        <v>169</v>
      </c>
      <c r="C71" t="s">
        <v>519</v>
      </c>
      <c r="D71" t="s">
        <v>520</v>
      </c>
      <c r="E71" t="s">
        <v>364</v>
      </c>
      <c r="I71">
        <v>0.10760500000000001</v>
      </c>
      <c r="J71">
        <v>0.15043400000000001</v>
      </c>
      <c r="K71">
        <v>0.119398</v>
      </c>
      <c r="L71">
        <v>-5.2999999999999999E-2</v>
      </c>
      <c r="M71">
        <v>4.1790000000000001E-2</v>
      </c>
      <c r="N71">
        <v>-6.6342999999999999E-2</v>
      </c>
      <c r="O71">
        <v>-3.5783000000000002E-2</v>
      </c>
      <c r="P71">
        <v>1.3513000000000001E-2</v>
      </c>
      <c r="Q71">
        <v>1.6643000000000002E-2</v>
      </c>
      <c r="R71">
        <v>2.0739E-2</v>
      </c>
      <c r="S71">
        <v>2.4773E-2</v>
      </c>
      <c r="T71">
        <v>3.3036999999999997E-2</v>
      </c>
      <c r="U71">
        <v>4.1474999999999998E-2</v>
      </c>
      <c r="V71">
        <v>4.5843000000000002E-2</v>
      </c>
      <c r="W71">
        <v>4.7985E-2</v>
      </c>
      <c r="X71">
        <v>5.9346999999999997E-2</v>
      </c>
      <c r="Y71">
        <v>6.0436999999999998E-2</v>
      </c>
      <c r="Z71">
        <v>7.0650000000000004E-2</v>
      </c>
      <c r="AA71">
        <v>7.7816999999999997E-2</v>
      </c>
      <c r="AB71">
        <v>7.9620999999999997E-2</v>
      </c>
      <c r="AC71">
        <v>8.2031000000000007E-2</v>
      </c>
      <c r="AD71">
        <v>8.7096999999999994E-2</v>
      </c>
      <c r="AE71">
        <v>8.7070999999999996E-2</v>
      </c>
      <c r="AF71">
        <v>8.8274000000000005E-2</v>
      </c>
      <c r="AG71">
        <v>9.3090999999999993E-2</v>
      </c>
      <c r="AH71">
        <v>8.5139000000000006E-2</v>
      </c>
      <c r="AI71">
        <v>9.6431000000000003E-2</v>
      </c>
      <c r="AJ71">
        <v>9.2488000000000001E-2</v>
      </c>
      <c r="AK71">
        <v>9.2101000000000002E-2</v>
      </c>
      <c r="AL71">
        <v>8.9070999999999997E-2</v>
      </c>
      <c r="AM71">
        <v>9.6007999999999996E-2</v>
      </c>
      <c r="AN71">
        <v>9.3702999999999995E-2</v>
      </c>
      <c r="AO71">
        <v>9.2259999999999995E-2</v>
      </c>
      <c r="AP71">
        <v>9.1201000000000004E-2</v>
      </c>
      <c r="AQ71" s="6">
        <v>8.9999999999999993E-3</v>
      </c>
    </row>
    <row r="72" spans="1:43" x14ac:dyDescent="0.3">
      <c r="A72" t="s">
        <v>521</v>
      </c>
      <c r="B72" t="s">
        <v>521</v>
      </c>
      <c r="C72" t="s">
        <v>522</v>
      </c>
      <c r="E72" t="s">
        <v>523</v>
      </c>
      <c r="P72">
        <v>1.36E-4</v>
      </c>
      <c r="Q72">
        <v>1.9799999999999999E-4</v>
      </c>
      <c r="R72">
        <v>2.9300000000000002E-4</v>
      </c>
      <c r="S72">
        <v>4.3399999999999998E-4</v>
      </c>
      <c r="T72">
        <v>6.4599999999999998E-4</v>
      </c>
      <c r="U72">
        <v>8.9899999999999995E-4</v>
      </c>
      <c r="V72">
        <v>1.191E-3</v>
      </c>
      <c r="W72">
        <v>1.8619999999999999E-3</v>
      </c>
      <c r="X72">
        <v>3.4320000000000002E-3</v>
      </c>
      <c r="Y72">
        <v>4.9109999999999996E-3</v>
      </c>
      <c r="Z72">
        <v>6.2919999999999998E-3</v>
      </c>
      <c r="AA72">
        <v>7.5900000000000004E-3</v>
      </c>
      <c r="AB72">
        <v>8.8439999999999994E-3</v>
      </c>
      <c r="AC72">
        <v>1.0042000000000001E-2</v>
      </c>
      <c r="AD72">
        <v>1.1198E-2</v>
      </c>
      <c r="AE72">
        <v>1.2315E-2</v>
      </c>
      <c r="AF72">
        <v>1.3387E-2</v>
      </c>
      <c r="AG72">
        <v>1.4387E-2</v>
      </c>
      <c r="AH72">
        <v>1.5330999999999999E-2</v>
      </c>
      <c r="AI72">
        <v>1.619E-2</v>
      </c>
      <c r="AJ72">
        <v>1.6983999999999999E-2</v>
      </c>
      <c r="AK72">
        <v>1.7743999999999999E-2</v>
      </c>
      <c r="AL72">
        <v>1.8428E-2</v>
      </c>
      <c r="AM72">
        <v>1.9068999999999999E-2</v>
      </c>
      <c r="AN72">
        <v>1.9682999999999999E-2</v>
      </c>
      <c r="AO72">
        <v>2.0277E-2</v>
      </c>
      <c r="AP72">
        <v>2.0795999999999999E-2</v>
      </c>
    </row>
    <row r="73" spans="1:43" x14ac:dyDescent="0.3">
      <c r="A73" t="s">
        <v>423</v>
      </c>
      <c r="B73" t="s">
        <v>423</v>
      </c>
      <c r="C73" t="s">
        <v>524</v>
      </c>
      <c r="D73" t="s">
        <v>525</v>
      </c>
      <c r="E73" t="s">
        <v>364</v>
      </c>
      <c r="I73">
        <v>8.4312999999999999E-2</v>
      </c>
      <c r="J73">
        <v>9.3257999999999994E-2</v>
      </c>
      <c r="K73">
        <v>0.104336</v>
      </c>
      <c r="L73">
        <v>9.8833000000000004E-2</v>
      </c>
      <c r="M73">
        <v>8.4875000000000006E-2</v>
      </c>
      <c r="N73">
        <v>7.4788999999999994E-2</v>
      </c>
      <c r="O73">
        <v>7.6537999999999995E-2</v>
      </c>
      <c r="P73">
        <v>4.4322809999999997</v>
      </c>
      <c r="Q73">
        <v>4.4379999999999997</v>
      </c>
      <c r="R73">
        <v>4.3973599999999999</v>
      </c>
      <c r="S73">
        <v>4.3489339999999999</v>
      </c>
      <c r="T73">
        <v>4.3103090000000002</v>
      </c>
      <c r="U73">
        <v>4.2691949999999999</v>
      </c>
      <c r="V73">
        <v>4.2133539999999998</v>
      </c>
      <c r="W73">
        <v>4.155265</v>
      </c>
      <c r="X73">
        <v>4.1013780000000004</v>
      </c>
      <c r="Y73">
        <v>4.0345849999999999</v>
      </c>
      <c r="Z73">
        <v>3.986335</v>
      </c>
      <c r="AA73">
        <v>3.9386420000000002</v>
      </c>
      <c r="AB73">
        <v>3.8869720000000001</v>
      </c>
      <c r="AC73">
        <v>3.841399</v>
      </c>
      <c r="AD73">
        <v>3.8072309999999998</v>
      </c>
      <c r="AE73">
        <v>3.7741560000000001</v>
      </c>
      <c r="AF73">
        <v>3.748777</v>
      </c>
      <c r="AG73">
        <v>3.7300659999999999</v>
      </c>
      <c r="AH73">
        <v>3.7015959999999999</v>
      </c>
      <c r="AI73">
        <v>3.6966019999999999</v>
      </c>
      <c r="AJ73">
        <v>3.6782710000000001</v>
      </c>
      <c r="AK73">
        <v>3.6708080000000001</v>
      </c>
      <c r="AL73">
        <v>3.6612170000000002</v>
      </c>
      <c r="AM73">
        <v>3.6671809999999998</v>
      </c>
      <c r="AN73">
        <v>3.6615199999999999</v>
      </c>
      <c r="AO73">
        <v>3.6661820000000001</v>
      </c>
      <c r="AP73">
        <v>3.6761309999999998</v>
      </c>
      <c r="AQ73" s="6">
        <v>-8.0000000000000002E-3</v>
      </c>
    </row>
    <row r="74" spans="1:43" x14ac:dyDescent="0.3">
      <c r="A74" t="s">
        <v>391</v>
      </c>
      <c r="B74" t="s">
        <v>391</v>
      </c>
      <c r="C74" t="s">
        <v>526</v>
      </c>
      <c r="D74" t="s">
        <v>527</v>
      </c>
      <c r="E74" t="s">
        <v>364</v>
      </c>
      <c r="I74">
        <v>2.4627849999999998</v>
      </c>
      <c r="J74">
        <v>2.4661580000000001</v>
      </c>
      <c r="K74">
        <v>2.471797</v>
      </c>
      <c r="L74">
        <v>2.1964589999999999</v>
      </c>
      <c r="M74">
        <v>2.3145009999999999</v>
      </c>
      <c r="N74">
        <v>2.1539389999999998</v>
      </c>
      <c r="O74">
        <v>2.1663869999999998</v>
      </c>
      <c r="AQ74" s="6">
        <v>-1.4999999999999999E-2</v>
      </c>
    </row>
    <row r="75" spans="1:43" x14ac:dyDescent="0.3">
      <c r="A75" t="s">
        <v>485</v>
      </c>
      <c r="B75" t="s">
        <v>485</v>
      </c>
      <c r="C75" t="s">
        <v>528</v>
      </c>
      <c r="D75" t="s">
        <v>529</v>
      </c>
      <c r="E75" t="s">
        <v>364</v>
      </c>
      <c r="I75">
        <v>1.3619999999999999E-3</v>
      </c>
      <c r="J75">
        <v>8.8000000000000005E-3</v>
      </c>
      <c r="K75">
        <v>2.7130000000000001E-3</v>
      </c>
      <c r="L75">
        <v>2.3990000000000001E-3</v>
      </c>
      <c r="M75">
        <v>2.7780000000000001E-3</v>
      </c>
      <c r="N75">
        <v>2.4399999999999999E-3</v>
      </c>
      <c r="O75">
        <v>2.6700000000000001E-3</v>
      </c>
      <c r="P75">
        <v>-0.109141</v>
      </c>
      <c r="Q75">
        <v>-7.2159000000000001E-2</v>
      </c>
      <c r="R75">
        <v>-5.4651999999999999E-2</v>
      </c>
      <c r="S75">
        <v>-3.7794000000000001E-2</v>
      </c>
      <c r="T75">
        <v>-3.6832999999999998E-2</v>
      </c>
      <c r="U75">
        <v>-3.5802E-2</v>
      </c>
      <c r="V75">
        <v>-3.4584999999999998E-2</v>
      </c>
      <c r="W75">
        <v>-3.3391999999999998E-2</v>
      </c>
      <c r="X75">
        <v>-3.2049000000000001E-2</v>
      </c>
      <c r="Y75">
        <v>-3.0696000000000001E-2</v>
      </c>
      <c r="Z75">
        <v>-2.9448999999999999E-2</v>
      </c>
      <c r="AA75">
        <v>-2.8250000000000001E-2</v>
      </c>
      <c r="AB75">
        <v>-2.7084E-2</v>
      </c>
      <c r="AC75">
        <v>-2.5982000000000002E-2</v>
      </c>
      <c r="AD75">
        <v>-2.5010000000000001E-2</v>
      </c>
      <c r="AE75">
        <v>-2.4125000000000001E-2</v>
      </c>
      <c r="AF75">
        <v>-2.3347E-2</v>
      </c>
      <c r="AG75">
        <v>-2.2643E-2</v>
      </c>
      <c r="AH75">
        <v>-2.1991E-2</v>
      </c>
      <c r="AI75">
        <v>-2.1429E-2</v>
      </c>
      <c r="AJ75">
        <v>-2.0917000000000002E-2</v>
      </c>
      <c r="AK75">
        <v>-2.0506E-2</v>
      </c>
      <c r="AL75">
        <v>-2.0126999999999999E-2</v>
      </c>
      <c r="AM75">
        <v>-1.9824999999999999E-2</v>
      </c>
      <c r="AN75">
        <v>-1.9491999999999999E-2</v>
      </c>
      <c r="AO75">
        <v>-1.9276999999999999E-2</v>
      </c>
      <c r="AP75">
        <v>-1.9120000000000002E-2</v>
      </c>
      <c r="AQ75" s="6">
        <v>3.9E-2</v>
      </c>
    </row>
    <row r="76" spans="1:43" x14ac:dyDescent="0.3">
      <c r="A76" t="s">
        <v>488</v>
      </c>
      <c r="B76" t="s">
        <v>488</v>
      </c>
      <c r="C76" t="s">
        <v>530</v>
      </c>
      <c r="D76" t="s">
        <v>531</v>
      </c>
      <c r="E76" t="s">
        <v>364</v>
      </c>
      <c r="I76">
        <v>1.037347</v>
      </c>
      <c r="J76">
        <v>1.0670120000000001</v>
      </c>
      <c r="K76">
        <v>1.065018</v>
      </c>
      <c r="L76">
        <v>0.65032999999999996</v>
      </c>
      <c r="M76">
        <v>0.7419</v>
      </c>
      <c r="N76">
        <v>0.83894999999999997</v>
      </c>
      <c r="O76">
        <v>0.89466599999999996</v>
      </c>
      <c r="AQ76" s="6">
        <v>8.9999999999999993E-3</v>
      </c>
    </row>
    <row r="77" spans="1:43" x14ac:dyDescent="0.3">
      <c r="A77" t="s">
        <v>394</v>
      </c>
      <c r="B77" t="s">
        <v>394</v>
      </c>
      <c r="C77" t="s">
        <v>532</v>
      </c>
      <c r="D77" t="s">
        <v>533</v>
      </c>
      <c r="E77" t="s">
        <v>364</v>
      </c>
      <c r="I77">
        <v>6.3E-5</v>
      </c>
      <c r="J77">
        <v>0</v>
      </c>
      <c r="K77">
        <v>9.2999999999999997E-5</v>
      </c>
      <c r="L77">
        <v>6.9999999999999994E-5</v>
      </c>
      <c r="M77">
        <v>7.7999999999999999E-5</v>
      </c>
      <c r="N77">
        <v>7.3999999999999996E-5</v>
      </c>
      <c r="O77">
        <v>8.1000000000000004E-5</v>
      </c>
      <c r="P77">
        <v>7.2772000000000003E-2</v>
      </c>
      <c r="Q77">
        <v>7.0828000000000002E-2</v>
      </c>
      <c r="R77">
        <v>6.4266000000000004E-2</v>
      </c>
      <c r="S77">
        <v>6.4626000000000003E-2</v>
      </c>
      <c r="T77">
        <v>6.5000000000000002E-2</v>
      </c>
      <c r="U77">
        <v>6.5329999999999999E-2</v>
      </c>
      <c r="V77">
        <v>6.5628000000000006E-2</v>
      </c>
      <c r="W77">
        <v>6.5922999999999995E-2</v>
      </c>
      <c r="X77">
        <v>6.6207000000000002E-2</v>
      </c>
      <c r="Y77">
        <v>6.6504999999999995E-2</v>
      </c>
      <c r="Z77">
        <v>6.6832000000000003E-2</v>
      </c>
      <c r="AA77">
        <v>6.7224000000000006E-2</v>
      </c>
      <c r="AB77">
        <v>6.7645999999999998E-2</v>
      </c>
      <c r="AC77">
        <v>6.8098000000000006E-2</v>
      </c>
      <c r="AD77">
        <v>6.8581000000000003E-2</v>
      </c>
      <c r="AE77">
        <v>6.9070999999999994E-2</v>
      </c>
      <c r="AF77">
        <v>6.9571999999999995E-2</v>
      </c>
      <c r="AG77">
        <v>7.0073999999999997E-2</v>
      </c>
      <c r="AH77">
        <v>7.0560999999999999E-2</v>
      </c>
      <c r="AI77">
        <v>7.1041999999999994E-2</v>
      </c>
      <c r="AJ77">
        <v>7.1524000000000004E-2</v>
      </c>
      <c r="AK77">
        <v>7.2012000000000007E-2</v>
      </c>
      <c r="AL77">
        <v>7.2529999999999997E-2</v>
      </c>
      <c r="AM77">
        <v>7.3043999999999998E-2</v>
      </c>
      <c r="AN77">
        <v>7.3538999999999993E-2</v>
      </c>
      <c r="AO77">
        <v>7.4087E-2</v>
      </c>
      <c r="AP77">
        <v>7.4651999999999996E-2</v>
      </c>
      <c r="AQ77" t="s">
        <v>397</v>
      </c>
    </row>
    <row r="78" spans="1:43" x14ac:dyDescent="0.3">
      <c r="A78" t="s">
        <v>365</v>
      </c>
      <c r="B78" t="s">
        <v>365</v>
      </c>
      <c r="C78" t="s">
        <v>534</v>
      </c>
      <c r="D78" t="s">
        <v>535</v>
      </c>
      <c r="E78" t="s">
        <v>364</v>
      </c>
      <c r="I78">
        <v>0.89347100000000002</v>
      </c>
      <c r="J78">
        <v>0.93144800000000005</v>
      </c>
      <c r="K78">
        <v>0.933365</v>
      </c>
      <c r="L78">
        <v>0.83880999999999994</v>
      </c>
      <c r="M78">
        <v>0.87844599999999995</v>
      </c>
      <c r="N78">
        <v>0.88134900000000005</v>
      </c>
      <c r="O78">
        <v>0.90556899999999996</v>
      </c>
      <c r="P78">
        <v>2.1995480000000001</v>
      </c>
      <c r="Q78">
        <v>2.1962830000000002</v>
      </c>
      <c r="R78">
        <v>2.1573410000000002</v>
      </c>
      <c r="S78">
        <v>2.1032820000000001</v>
      </c>
      <c r="T78">
        <v>2.0373459999999999</v>
      </c>
      <c r="U78">
        <v>1.9672190000000001</v>
      </c>
      <c r="V78">
        <v>1.8844000000000001</v>
      </c>
      <c r="W78">
        <v>1.807418</v>
      </c>
      <c r="X78">
        <v>1.72231</v>
      </c>
      <c r="Y78">
        <v>1.638231</v>
      </c>
      <c r="Z78">
        <v>1.5595239999999999</v>
      </c>
      <c r="AA78">
        <v>1.483481</v>
      </c>
      <c r="AB78">
        <v>1.407575</v>
      </c>
      <c r="AC78">
        <v>1.335426</v>
      </c>
      <c r="AD78">
        <v>1.271541</v>
      </c>
      <c r="AE78">
        <v>1.213109</v>
      </c>
      <c r="AF78">
        <v>1.162212</v>
      </c>
      <c r="AG78">
        <v>1.116663</v>
      </c>
      <c r="AH78">
        <v>1.0733330000000001</v>
      </c>
      <c r="AI78">
        <v>1.036767</v>
      </c>
      <c r="AJ78">
        <v>1.003093</v>
      </c>
      <c r="AK78">
        <v>0.97553599999999996</v>
      </c>
      <c r="AL78">
        <v>0.94977</v>
      </c>
      <c r="AM78">
        <v>0.92870200000000003</v>
      </c>
      <c r="AN78">
        <v>0.90447200000000005</v>
      </c>
      <c r="AO78">
        <v>0.88789399999999996</v>
      </c>
      <c r="AP78">
        <v>0.87564600000000004</v>
      </c>
      <c r="AQ78" s="6">
        <v>3.0000000000000001E-3</v>
      </c>
    </row>
    <row r="79" spans="1:43" x14ac:dyDescent="0.3">
      <c r="A79" t="s">
        <v>400</v>
      </c>
      <c r="B79" t="s">
        <v>400</v>
      </c>
      <c r="C79" t="s">
        <v>536</v>
      </c>
      <c r="D79" t="s">
        <v>537</v>
      </c>
      <c r="E79" t="s">
        <v>364</v>
      </c>
      <c r="I79">
        <v>0.296404</v>
      </c>
      <c r="J79">
        <v>0.27533800000000003</v>
      </c>
      <c r="K79">
        <v>0.22050700000000001</v>
      </c>
      <c r="L79">
        <v>0.17265800000000001</v>
      </c>
      <c r="M79">
        <v>0.285862</v>
      </c>
      <c r="N79">
        <v>0.30149100000000001</v>
      </c>
      <c r="O79">
        <v>0.23377800000000001</v>
      </c>
      <c r="P79">
        <v>2.0699999999999999E-4</v>
      </c>
      <c r="Q79">
        <v>1.93E-4</v>
      </c>
      <c r="R79">
        <v>1.8599999999999999E-4</v>
      </c>
      <c r="S79">
        <v>1.7899999999999999E-4</v>
      </c>
      <c r="T79">
        <v>1.6899999999999999E-4</v>
      </c>
      <c r="U79">
        <v>1.6100000000000001E-4</v>
      </c>
      <c r="V79">
        <v>1.4999999999999999E-4</v>
      </c>
      <c r="W79">
        <v>1.3999999999999999E-4</v>
      </c>
      <c r="X79">
        <v>1.2799999999999999E-4</v>
      </c>
      <c r="Y79">
        <v>1.16E-4</v>
      </c>
      <c r="Z79">
        <v>1.08E-4</v>
      </c>
      <c r="AA79">
        <v>1E-4</v>
      </c>
      <c r="AB79">
        <v>9.2E-5</v>
      </c>
      <c r="AC79">
        <v>8.6000000000000003E-5</v>
      </c>
      <c r="AD79">
        <v>8.0000000000000007E-5</v>
      </c>
      <c r="AE79">
        <v>7.4999999999999993E-5</v>
      </c>
      <c r="AF79">
        <v>7.2999999999999999E-5</v>
      </c>
      <c r="AG79">
        <v>6.9999999999999994E-5</v>
      </c>
      <c r="AH79">
        <v>6.7000000000000002E-5</v>
      </c>
      <c r="AI79">
        <v>6.6000000000000005E-5</v>
      </c>
      <c r="AJ79">
        <v>6.6000000000000005E-5</v>
      </c>
      <c r="AK79">
        <v>6.3E-5</v>
      </c>
      <c r="AL79">
        <v>6.2000000000000003E-5</v>
      </c>
      <c r="AM79">
        <v>6.3E-5</v>
      </c>
      <c r="AN79">
        <v>6.2000000000000003E-5</v>
      </c>
      <c r="AO79">
        <v>6.2000000000000003E-5</v>
      </c>
      <c r="AP79">
        <v>6.0999999999999999E-5</v>
      </c>
      <c r="AQ79" s="6">
        <v>-8.9999999999999993E-3</v>
      </c>
    </row>
    <row r="80" spans="1:43" x14ac:dyDescent="0.3">
      <c r="A80" t="s">
        <v>432</v>
      </c>
      <c r="B80" t="s">
        <v>432</v>
      </c>
      <c r="C80" t="s">
        <v>538</v>
      </c>
      <c r="D80" t="s">
        <v>539</v>
      </c>
      <c r="E80" t="s">
        <v>364</v>
      </c>
      <c r="I80">
        <v>0</v>
      </c>
      <c r="J80">
        <v>0</v>
      </c>
      <c r="K80">
        <v>0</v>
      </c>
      <c r="L80">
        <v>0</v>
      </c>
      <c r="M80">
        <v>0</v>
      </c>
      <c r="N80">
        <v>0</v>
      </c>
      <c r="O80">
        <v>0</v>
      </c>
      <c r="P80">
        <v>0.88082199999999999</v>
      </c>
      <c r="Q80">
        <v>0.89403699999999997</v>
      </c>
      <c r="R80">
        <v>0.90151199999999998</v>
      </c>
      <c r="S80">
        <v>0.91066000000000003</v>
      </c>
      <c r="T80">
        <v>0.91764699999999999</v>
      </c>
      <c r="U80">
        <v>0.92646499999999998</v>
      </c>
      <c r="V80">
        <v>0.93406800000000001</v>
      </c>
      <c r="W80">
        <v>0.93935500000000005</v>
      </c>
      <c r="X80">
        <v>0.94581899999999997</v>
      </c>
      <c r="Y80">
        <v>0.95222700000000005</v>
      </c>
      <c r="Z80">
        <v>0.958646</v>
      </c>
      <c r="AA80">
        <v>0.96711000000000003</v>
      </c>
      <c r="AB80">
        <v>0.97569700000000004</v>
      </c>
      <c r="AC80">
        <v>0.985653</v>
      </c>
      <c r="AD80">
        <v>0.99597199999999997</v>
      </c>
      <c r="AE80">
        <v>1.006812</v>
      </c>
      <c r="AF80">
        <v>1.017798</v>
      </c>
      <c r="AG80">
        <v>1.027844</v>
      </c>
      <c r="AH80">
        <v>1.038862</v>
      </c>
      <c r="AI80">
        <v>1.0485880000000001</v>
      </c>
      <c r="AJ80">
        <v>1.0579050000000001</v>
      </c>
      <c r="AK80">
        <v>1.0676289999999999</v>
      </c>
      <c r="AL80">
        <v>1.0764579999999999</v>
      </c>
      <c r="AM80">
        <v>1.085507</v>
      </c>
      <c r="AN80">
        <v>1.095291</v>
      </c>
      <c r="AO80">
        <v>1.105661</v>
      </c>
      <c r="AP80">
        <v>1.117259</v>
      </c>
      <c r="AQ80" t="s">
        <v>397</v>
      </c>
    </row>
    <row r="81" spans="1:43" x14ac:dyDescent="0.3">
      <c r="A81" t="s">
        <v>435</v>
      </c>
      <c r="B81" t="s">
        <v>435</v>
      </c>
      <c r="C81" t="s">
        <v>540</v>
      </c>
      <c r="D81" t="s">
        <v>541</v>
      </c>
      <c r="E81" t="s">
        <v>364</v>
      </c>
      <c r="I81">
        <v>0.55424799999999996</v>
      </c>
      <c r="J81">
        <v>0.54416500000000001</v>
      </c>
      <c r="K81">
        <v>0.55160500000000001</v>
      </c>
      <c r="L81">
        <v>0.48769200000000001</v>
      </c>
      <c r="M81">
        <v>0.47777399999999998</v>
      </c>
      <c r="N81">
        <v>0.48330400000000001</v>
      </c>
      <c r="O81">
        <v>0.477802</v>
      </c>
      <c r="P81">
        <v>1.2E-4</v>
      </c>
      <c r="Q81">
        <v>9.7999999999999997E-5</v>
      </c>
      <c r="R81">
        <v>2.34E-4</v>
      </c>
      <c r="S81">
        <v>2.31E-4</v>
      </c>
      <c r="T81">
        <v>2.22E-4</v>
      </c>
      <c r="U81">
        <v>1.9900000000000001E-4</v>
      </c>
      <c r="V81">
        <v>1.8000000000000001E-4</v>
      </c>
      <c r="W81">
        <v>1.75E-4</v>
      </c>
      <c r="X81">
        <v>1.7799999999999999E-4</v>
      </c>
      <c r="Y81">
        <v>1.7000000000000001E-4</v>
      </c>
      <c r="Z81">
        <v>1.66E-4</v>
      </c>
      <c r="AA81">
        <v>1.6100000000000001E-4</v>
      </c>
      <c r="AB81">
        <v>1.5699999999999999E-4</v>
      </c>
      <c r="AC81">
        <v>1.5100000000000001E-4</v>
      </c>
      <c r="AD81">
        <v>1.44E-4</v>
      </c>
      <c r="AE81">
        <v>1.4200000000000001E-4</v>
      </c>
      <c r="AF81">
        <v>1.35E-4</v>
      </c>
      <c r="AG81">
        <v>1.26E-4</v>
      </c>
      <c r="AH81">
        <v>1.22E-4</v>
      </c>
      <c r="AI81">
        <v>1.13E-4</v>
      </c>
      <c r="AJ81">
        <v>1.06E-4</v>
      </c>
      <c r="AK81">
        <v>1.0399999999999999E-4</v>
      </c>
      <c r="AL81">
        <v>9.7E-5</v>
      </c>
      <c r="AM81">
        <v>8.5000000000000006E-5</v>
      </c>
      <c r="AN81">
        <v>8.5000000000000006E-5</v>
      </c>
      <c r="AO81">
        <v>8.3999999999999995E-5</v>
      </c>
      <c r="AP81">
        <v>8.0000000000000007E-5</v>
      </c>
      <c r="AQ81" s="6">
        <v>-5.0000000000000001E-3</v>
      </c>
    </row>
    <row r="82" spans="1:43" x14ac:dyDescent="0.3">
      <c r="A82" t="s">
        <v>368</v>
      </c>
      <c r="B82" t="s">
        <v>368</v>
      </c>
      <c r="C82" t="s">
        <v>542</v>
      </c>
      <c r="D82" t="s">
        <v>543</v>
      </c>
      <c r="E82" t="s">
        <v>364</v>
      </c>
      <c r="I82">
        <v>5.3286300000000004</v>
      </c>
      <c r="J82">
        <v>5.3773809999999997</v>
      </c>
      <c r="K82">
        <v>5.3467209999999996</v>
      </c>
      <c r="L82">
        <v>4.4448530000000002</v>
      </c>
      <c r="M82">
        <v>4.783436</v>
      </c>
      <c r="N82">
        <v>4.7338950000000004</v>
      </c>
      <c r="O82">
        <v>4.7548199999999996</v>
      </c>
      <c r="P82">
        <v>1.1616850000000001</v>
      </c>
      <c r="Q82">
        <v>1.2031069999999999</v>
      </c>
      <c r="R82">
        <v>1.1990749999999999</v>
      </c>
      <c r="S82">
        <v>1.1902729999999999</v>
      </c>
      <c r="T82">
        <v>1.183969</v>
      </c>
      <c r="U82">
        <v>1.175583</v>
      </c>
      <c r="V82">
        <v>1.164588</v>
      </c>
      <c r="W82">
        <v>1.1484840000000001</v>
      </c>
      <c r="X82">
        <v>1.1272800000000001</v>
      </c>
      <c r="Y82">
        <v>1.1036349999999999</v>
      </c>
      <c r="Z82">
        <v>1.0836319999999999</v>
      </c>
      <c r="AA82">
        <v>1.0649439999999999</v>
      </c>
      <c r="AB82">
        <v>1.049374</v>
      </c>
      <c r="AC82">
        <v>1.0345070000000001</v>
      </c>
      <c r="AD82">
        <v>1.0217879999999999</v>
      </c>
      <c r="AE82">
        <v>1.0102120000000001</v>
      </c>
      <c r="AF82">
        <v>0.99970999999999999</v>
      </c>
      <c r="AG82">
        <v>0.98934500000000003</v>
      </c>
      <c r="AH82">
        <v>0.98100100000000001</v>
      </c>
      <c r="AI82">
        <v>0.97304900000000005</v>
      </c>
      <c r="AJ82">
        <v>0.96631699999999998</v>
      </c>
      <c r="AK82">
        <v>0.96189400000000003</v>
      </c>
      <c r="AL82">
        <v>0.95904199999999995</v>
      </c>
      <c r="AM82">
        <v>0.95760999999999996</v>
      </c>
      <c r="AN82">
        <v>0.95680600000000005</v>
      </c>
      <c r="AO82">
        <v>0.95848</v>
      </c>
      <c r="AP82">
        <v>0.96006999999999998</v>
      </c>
      <c r="AQ82" s="6">
        <v>-4.0000000000000001E-3</v>
      </c>
    </row>
    <row r="83" spans="1:43" x14ac:dyDescent="0.3">
      <c r="A83" t="s">
        <v>98</v>
      </c>
      <c r="B83" t="s">
        <v>98</v>
      </c>
      <c r="C83" t="s">
        <v>544</v>
      </c>
      <c r="D83" t="s">
        <v>545</v>
      </c>
      <c r="E83" t="s">
        <v>364</v>
      </c>
      <c r="I83">
        <v>1.9867980000000001</v>
      </c>
      <c r="J83">
        <v>2.078811</v>
      </c>
      <c r="K83">
        <v>2.1153080000000002</v>
      </c>
      <c r="L83">
        <v>2.000038</v>
      </c>
      <c r="M83">
        <v>2.060038</v>
      </c>
      <c r="N83">
        <v>2.0020319999999998</v>
      </c>
      <c r="O83">
        <v>2.0796030000000001</v>
      </c>
      <c r="P83">
        <v>0.239063</v>
      </c>
      <c r="Q83">
        <v>0.22332199999999999</v>
      </c>
      <c r="R83">
        <v>0.221582</v>
      </c>
      <c r="S83">
        <v>0.22533700000000001</v>
      </c>
      <c r="T83">
        <v>0.227794</v>
      </c>
      <c r="U83">
        <v>0.23094100000000001</v>
      </c>
      <c r="V83">
        <v>0.234458</v>
      </c>
      <c r="W83">
        <v>0.237012</v>
      </c>
      <c r="X83">
        <v>0.238812</v>
      </c>
      <c r="Y83">
        <v>0.240282</v>
      </c>
      <c r="Z83">
        <v>0.242733</v>
      </c>
      <c r="AA83">
        <v>0.24482699999999999</v>
      </c>
      <c r="AB83">
        <v>0.24665699999999999</v>
      </c>
      <c r="AC83">
        <v>0.248889</v>
      </c>
      <c r="AD83">
        <v>0.250531</v>
      </c>
      <c r="AE83">
        <v>0.25265799999999999</v>
      </c>
      <c r="AF83">
        <v>0.25462699999999999</v>
      </c>
      <c r="AG83">
        <v>0.256324</v>
      </c>
      <c r="AH83">
        <v>0.25744</v>
      </c>
      <c r="AI83">
        <v>0.25924000000000003</v>
      </c>
      <c r="AJ83">
        <v>0.261021</v>
      </c>
      <c r="AK83">
        <v>0.26242100000000002</v>
      </c>
      <c r="AL83">
        <v>0.264013</v>
      </c>
      <c r="AM83">
        <v>0.26531700000000003</v>
      </c>
      <c r="AN83">
        <v>0.26711699999999999</v>
      </c>
      <c r="AO83">
        <v>0.268899</v>
      </c>
      <c r="AP83">
        <v>0.27035999999999999</v>
      </c>
      <c r="AQ83" s="6">
        <v>8.0000000000000002E-3</v>
      </c>
    </row>
    <row r="84" spans="1:43" x14ac:dyDescent="0.3">
      <c r="A84" t="s">
        <v>442</v>
      </c>
      <c r="B84" t="s">
        <v>442</v>
      </c>
      <c r="C84" t="s">
        <v>546</v>
      </c>
      <c r="D84" t="s">
        <v>547</v>
      </c>
      <c r="E84" t="s">
        <v>364</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t="s">
        <v>397</v>
      </c>
    </row>
    <row r="85" spans="1:43" x14ac:dyDescent="0.3">
      <c r="A85" t="s">
        <v>445</v>
      </c>
      <c r="B85" t="s">
        <v>445</v>
      </c>
      <c r="C85" t="s">
        <v>548</v>
      </c>
      <c r="D85" t="s">
        <v>549</v>
      </c>
      <c r="E85" t="s">
        <v>364</v>
      </c>
      <c r="I85">
        <v>0.283586</v>
      </c>
      <c r="J85">
        <v>0.29477799999999998</v>
      </c>
      <c r="K85">
        <v>0.29870200000000002</v>
      </c>
      <c r="L85">
        <v>0.28741899999999998</v>
      </c>
      <c r="M85">
        <v>0.28536099999999998</v>
      </c>
      <c r="N85">
        <v>0.30041600000000002</v>
      </c>
      <c r="O85">
        <v>0.26392500000000002</v>
      </c>
      <c r="P85">
        <v>0.462171</v>
      </c>
      <c r="Q85">
        <v>0.45956399999999997</v>
      </c>
      <c r="R85">
        <v>0.33243899999999998</v>
      </c>
      <c r="S85">
        <v>0.34308100000000002</v>
      </c>
      <c r="T85">
        <v>0.34873999999999999</v>
      </c>
      <c r="U85">
        <v>0.350352</v>
      </c>
      <c r="V85">
        <v>0.34958699999999998</v>
      </c>
      <c r="W85">
        <v>0.34746199999999999</v>
      </c>
      <c r="X85">
        <v>0.33962500000000001</v>
      </c>
      <c r="Y85">
        <v>0.33240399999999998</v>
      </c>
      <c r="Z85">
        <v>0.33554600000000001</v>
      </c>
      <c r="AA85">
        <v>0.334341</v>
      </c>
      <c r="AB85">
        <v>0.33380500000000002</v>
      </c>
      <c r="AC85">
        <v>0.32994800000000002</v>
      </c>
      <c r="AD85">
        <v>0.33332299999999998</v>
      </c>
      <c r="AE85">
        <v>0.33023000000000002</v>
      </c>
      <c r="AF85">
        <v>0.33350400000000002</v>
      </c>
      <c r="AG85">
        <v>0.33593600000000001</v>
      </c>
      <c r="AH85">
        <v>0.32472699999999999</v>
      </c>
      <c r="AI85">
        <v>0.32758500000000002</v>
      </c>
      <c r="AJ85">
        <v>0.32899499999999998</v>
      </c>
      <c r="AK85">
        <v>0.33078999999999997</v>
      </c>
      <c r="AL85">
        <v>0.331789</v>
      </c>
      <c r="AM85">
        <v>0.33127600000000001</v>
      </c>
      <c r="AN85">
        <v>0.333482</v>
      </c>
      <c r="AO85">
        <v>0.33155000000000001</v>
      </c>
      <c r="AP85">
        <v>0.32847999999999999</v>
      </c>
      <c r="AQ85" s="6">
        <v>0</v>
      </c>
    </row>
    <row r="86" spans="1:43" x14ac:dyDescent="0.3">
      <c r="A86" t="s">
        <v>502</v>
      </c>
      <c r="B86" t="s">
        <v>502</v>
      </c>
      <c r="C86" t="s">
        <v>550</v>
      </c>
      <c r="D86" t="s">
        <v>551</v>
      </c>
      <c r="E86" t="s">
        <v>364</v>
      </c>
      <c r="I86">
        <v>0</v>
      </c>
      <c r="J86">
        <v>0</v>
      </c>
      <c r="K86">
        <v>0</v>
      </c>
      <c r="L86">
        <v>0</v>
      </c>
      <c r="M86">
        <v>0</v>
      </c>
      <c r="N86">
        <v>0</v>
      </c>
      <c r="O86">
        <v>0</v>
      </c>
      <c r="P86">
        <v>5.0161819999999997</v>
      </c>
      <c r="Q86">
        <v>5.0472380000000001</v>
      </c>
      <c r="R86">
        <v>4.8764479999999999</v>
      </c>
      <c r="S86">
        <v>4.8374889999999997</v>
      </c>
      <c r="T86">
        <v>4.7807180000000002</v>
      </c>
      <c r="U86">
        <v>4.7160890000000002</v>
      </c>
      <c r="V86">
        <v>4.6329099999999999</v>
      </c>
      <c r="W86">
        <v>4.5458280000000002</v>
      </c>
      <c r="X86">
        <v>4.440232</v>
      </c>
      <c r="Y86">
        <v>4.3334530000000004</v>
      </c>
      <c r="Z86">
        <v>4.2470790000000003</v>
      </c>
      <c r="AA86">
        <v>4.1620879999999998</v>
      </c>
      <c r="AB86">
        <v>4.0809110000000004</v>
      </c>
      <c r="AC86">
        <v>4.0026719999999996</v>
      </c>
      <c r="AD86">
        <v>3.9418799999999998</v>
      </c>
      <c r="AE86">
        <v>3.8822329999999998</v>
      </c>
      <c r="AF86">
        <v>3.837558</v>
      </c>
      <c r="AG86">
        <v>3.796313</v>
      </c>
      <c r="AH86">
        <v>3.7460469999999999</v>
      </c>
      <c r="AI86">
        <v>3.7163840000000001</v>
      </c>
      <c r="AJ86">
        <v>3.6889620000000001</v>
      </c>
      <c r="AK86">
        <v>3.6703869999999998</v>
      </c>
      <c r="AL86">
        <v>3.6537000000000002</v>
      </c>
      <c r="AM86">
        <v>3.6415410000000001</v>
      </c>
      <c r="AN86">
        <v>3.630792</v>
      </c>
      <c r="AO86">
        <v>3.626655</v>
      </c>
      <c r="AP86">
        <v>3.626547</v>
      </c>
      <c r="AQ86" t="s">
        <v>397</v>
      </c>
    </row>
    <row r="87" spans="1:43" x14ac:dyDescent="0.3">
      <c r="A87" t="s">
        <v>499</v>
      </c>
      <c r="B87" t="s">
        <v>499</v>
      </c>
      <c r="C87" t="s">
        <v>552</v>
      </c>
      <c r="D87" t="s">
        <v>553</v>
      </c>
      <c r="E87" t="s">
        <v>364</v>
      </c>
      <c r="I87">
        <v>4.1980999999999997E-2</v>
      </c>
      <c r="J87">
        <v>4.3070999999999998E-2</v>
      </c>
      <c r="K87">
        <v>4.4200999999999997E-2</v>
      </c>
      <c r="L87">
        <v>4.6810999999999998E-2</v>
      </c>
      <c r="M87">
        <v>4.5700999999999999E-2</v>
      </c>
      <c r="N87">
        <v>4.8576000000000001E-2</v>
      </c>
      <c r="O87">
        <v>4.9717999999999998E-2</v>
      </c>
      <c r="P87">
        <v>1.8407089999999999</v>
      </c>
      <c r="Q87">
        <v>1.8367519999999999</v>
      </c>
      <c r="R87">
        <v>1.826776</v>
      </c>
      <c r="S87">
        <v>1.831467</v>
      </c>
      <c r="T87">
        <v>1.835815</v>
      </c>
      <c r="U87">
        <v>1.8448530000000001</v>
      </c>
      <c r="V87">
        <v>1.859424</v>
      </c>
      <c r="W87">
        <v>1.863526</v>
      </c>
      <c r="X87">
        <v>1.8675999999999999</v>
      </c>
      <c r="Y87">
        <v>1.864317</v>
      </c>
      <c r="Z87">
        <v>1.8536109999999999</v>
      </c>
      <c r="AA87">
        <v>1.854956</v>
      </c>
      <c r="AB87">
        <v>1.852255</v>
      </c>
      <c r="AC87">
        <v>1.8576710000000001</v>
      </c>
      <c r="AD87">
        <v>1.8632420000000001</v>
      </c>
      <c r="AE87">
        <v>1.8748640000000001</v>
      </c>
      <c r="AF87">
        <v>1.8824989999999999</v>
      </c>
      <c r="AG87">
        <v>1.8849100000000001</v>
      </c>
      <c r="AH87">
        <v>1.8911150000000001</v>
      </c>
      <c r="AI87">
        <v>1.899343</v>
      </c>
      <c r="AJ87">
        <v>1.909343</v>
      </c>
      <c r="AK87">
        <v>1.9166190000000001</v>
      </c>
      <c r="AL87">
        <v>1.91852</v>
      </c>
      <c r="AM87">
        <v>1.9314720000000001</v>
      </c>
      <c r="AN87">
        <v>1.9428019999999999</v>
      </c>
      <c r="AO87">
        <v>1.959381</v>
      </c>
      <c r="AP87">
        <v>1.9741329999999999</v>
      </c>
      <c r="AQ87" s="6">
        <v>5.0000000000000001E-3</v>
      </c>
    </row>
    <row r="88" spans="1:43" x14ac:dyDescent="0.3">
      <c r="A88" t="s">
        <v>448</v>
      </c>
      <c r="B88" t="s">
        <v>448</v>
      </c>
      <c r="C88" t="s">
        <v>554</v>
      </c>
      <c r="D88" t="s">
        <v>555</v>
      </c>
      <c r="E88" t="s">
        <v>364</v>
      </c>
      <c r="I88">
        <v>2.3123649999999998</v>
      </c>
      <c r="J88">
        <v>2.4166609999999999</v>
      </c>
      <c r="K88">
        <v>2.4582099999999998</v>
      </c>
      <c r="L88">
        <v>2.3342679999999998</v>
      </c>
      <c r="M88">
        <v>2.3910990000000001</v>
      </c>
      <c r="N88">
        <v>2.3510239999999998</v>
      </c>
      <c r="O88">
        <v>2.393246</v>
      </c>
      <c r="P88">
        <v>0.279783</v>
      </c>
      <c r="Q88">
        <v>0.25668200000000002</v>
      </c>
      <c r="R88">
        <v>0.26378299999999999</v>
      </c>
      <c r="S88">
        <v>0.26644600000000002</v>
      </c>
      <c r="T88">
        <v>0.27815499999999999</v>
      </c>
      <c r="U88">
        <v>0.27727499999999999</v>
      </c>
      <c r="V88">
        <v>0.27540599999999998</v>
      </c>
      <c r="W88">
        <v>0.27752399999999999</v>
      </c>
      <c r="X88">
        <v>0.280636</v>
      </c>
      <c r="Y88">
        <v>0.28720499999999999</v>
      </c>
      <c r="Z88">
        <v>0.28256799999999999</v>
      </c>
      <c r="AA88">
        <v>0.27904600000000002</v>
      </c>
      <c r="AB88">
        <v>0.27388000000000001</v>
      </c>
      <c r="AC88">
        <v>0.27036100000000002</v>
      </c>
      <c r="AD88">
        <v>0.265621</v>
      </c>
      <c r="AE88">
        <v>0.26136199999999998</v>
      </c>
      <c r="AF88">
        <v>0.25750000000000001</v>
      </c>
      <c r="AG88">
        <v>0.25278699999999998</v>
      </c>
      <c r="AH88">
        <v>0.25036799999999998</v>
      </c>
      <c r="AI88">
        <v>0.24881300000000001</v>
      </c>
      <c r="AJ88">
        <v>0.24675800000000001</v>
      </c>
      <c r="AK88">
        <v>0.24518100000000001</v>
      </c>
      <c r="AL88">
        <v>0.243421</v>
      </c>
      <c r="AM88">
        <v>0.241595</v>
      </c>
      <c r="AN88">
        <v>0.23966000000000001</v>
      </c>
      <c r="AO88">
        <v>0.23769499999999999</v>
      </c>
      <c r="AP88">
        <v>0.23255999999999999</v>
      </c>
      <c r="AQ88" s="6">
        <v>7.0000000000000001E-3</v>
      </c>
    </row>
    <row r="89" spans="1:43" x14ac:dyDescent="0.3">
      <c r="A89" t="s">
        <v>451</v>
      </c>
      <c r="B89" t="s">
        <v>451</v>
      </c>
      <c r="C89" t="s">
        <v>556</v>
      </c>
      <c r="D89" t="s">
        <v>557</v>
      </c>
      <c r="E89" t="s">
        <v>364</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t="s">
        <v>397</v>
      </c>
    </row>
    <row r="90" spans="1:43" x14ac:dyDescent="0.3">
      <c r="A90" t="s">
        <v>558</v>
      </c>
      <c r="B90" t="s">
        <v>558</v>
      </c>
      <c r="C90" t="s">
        <v>559</v>
      </c>
      <c r="D90" t="s">
        <v>560</v>
      </c>
      <c r="E90" t="s">
        <v>364</v>
      </c>
      <c r="I90">
        <v>3.8213999999999998E-2</v>
      </c>
      <c r="J90">
        <v>3.4730999999999998E-2</v>
      </c>
      <c r="K90">
        <v>3.5930999999999998E-2</v>
      </c>
      <c r="L90">
        <v>3.5562999999999997E-2</v>
      </c>
      <c r="M90">
        <v>3.7589999999999998E-2</v>
      </c>
      <c r="N90">
        <v>3.7897E-2</v>
      </c>
      <c r="O90">
        <v>3.6366000000000002E-2</v>
      </c>
      <c r="P90">
        <v>4.7454999999999997E-2</v>
      </c>
      <c r="Q90">
        <v>4.4574999999999997E-2</v>
      </c>
      <c r="R90">
        <v>4.2626999999999998E-2</v>
      </c>
      <c r="S90">
        <v>4.2537999999999999E-2</v>
      </c>
      <c r="T90">
        <v>4.2146000000000003E-2</v>
      </c>
      <c r="U90">
        <v>4.1956E-2</v>
      </c>
      <c r="V90">
        <v>4.1846000000000001E-2</v>
      </c>
      <c r="W90">
        <v>4.2014000000000003E-2</v>
      </c>
      <c r="X90">
        <v>4.2009999999999999E-2</v>
      </c>
      <c r="Y90">
        <v>4.1488999999999998E-2</v>
      </c>
      <c r="Z90">
        <v>4.1181000000000002E-2</v>
      </c>
      <c r="AA90">
        <v>4.1062000000000001E-2</v>
      </c>
      <c r="AB90">
        <v>4.0770000000000001E-2</v>
      </c>
      <c r="AC90">
        <v>4.0618000000000001E-2</v>
      </c>
      <c r="AD90">
        <v>4.0670999999999999E-2</v>
      </c>
      <c r="AE90">
        <v>4.0618000000000001E-2</v>
      </c>
      <c r="AF90">
        <v>4.0455999999999999E-2</v>
      </c>
      <c r="AG90">
        <v>4.0468999999999998E-2</v>
      </c>
      <c r="AH90">
        <v>4.0381E-2</v>
      </c>
      <c r="AI90">
        <v>4.0307000000000003E-2</v>
      </c>
      <c r="AJ90">
        <v>4.0300999999999997E-2</v>
      </c>
      <c r="AK90">
        <v>4.0305000000000001E-2</v>
      </c>
      <c r="AL90">
        <v>4.0231999999999997E-2</v>
      </c>
      <c r="AM90">
        <v>4.0286000000000002E-2</v>
      </c>
      <c r="AN90">
        <v>4.0437000000000001E-2</v>
      </c>
      <c r="AO90">
        <v>4.0704999999999998E-2</v>
      </c>
      <c r="AP90">
        <v>4.0939999999999997E-2</v>
      </c>
      <c r="AQ90" s="6">
        <v>1E-3</v>
      </c>
    </row>
    <row r="91" spans="1:43" x14ac:dyDescent="0.3">
      <c r="A91" t="s">
        <v>457</v>
      </c>
      <c r="B91" t="s">
        <v>457</v>
      </c>
      <c r="C91" t="s">
        <v>561</v>
      </c>
      <c r="D91" t="s">
        <v>562</v>
      </c>
      <c r="E91" t="s">
        <v>364</v>
      </c>
      <c r="I91">
        <v>0</v>
      </c>
      <c r="J91">
        <v>0</v>
      </c>
      <c r="K91">
        <v>0</v>
      </c>
      <c r="L91">
        <v>0</v>
      </c>
      <c r="M91">
        <v>0</v>
      </c>
      <c r="N91">
        <v>0</v>
      </c>
      <c r="O91">
        <v>0</v>
      </c>
      <c r="P91">
        <v>2.1679469999999998</v>
      </c>
      <c r="Q91">
        <v>2.1380080000000001</v>
      </c>
      <c r="R91">
        <v>2.1331859999999998</v>
      </c>
      <c r="S91">
        <v>2.1404510000000001</v>
      </c>
      <c r="T91">
        <v>2.1561149999999998</v>
      </c>
      <c r="U91">
        <v>2.1640839999999999</v>
      </c>
      <c r="V91">
        <v>2.1766760000000001</v>
      </c>
      <c r="W91">
        <v>2.1830639999999999</v>
      </c>
      <c r="X91">
        <v>2.1902460000000001</v>
      </c>
      <c r="Y91">
        <v>2.1930109999999998</v>
      </c>
      <c r="Z91">
        <v>2.1773600000000002</v>
      </c>
      <c r="AA91">
        <v>2.175065</v>
      </c>
      <c r="AB91">
        <v>2.1669049999999999</v>
      </c>
      <c r="AC91">
        <v>2.16865</v>
      </c>
      <c r="AD91">
        <v>2.1695340000000001</v>
      </c>
      <c r="AE91">
        <v>2.176844</v>
      </c>
      <c r="AF91">
        <v>2.1804540000000001</v>
      </c>
      <c r="AG91">
        <v>2.1781649999999999</v>
      </c>
      <c r="AH91">
        <v>2.181864</v>
      </c>
      <c r="AI91">
        <v>2.188463</v>
      </c>
      <c r="AJ91">
        <v>2.1964009999999998</v>
      </c>
      <c r="AK91">
        <v>2.2021060000000001</v>
      </c>
      <c r="AL91">
        <v>2.2021730000000002</v>
      </c>
      <c r="AM91">
        <v>2.213352</v>
      </c>
      <c r="AN91">
        <v>2.222899</v>
      </c>
      <c r="AO91">
        <v>2.237781</v>
      </c>
      <c r="AP91">
        <v>2.247633</v>
      </c>
      <c r="AQ91" t="s">
        <v>397</v>
      </c>
    </row>
    <row r="92" spans="1:43" x14ac:dyDescent="0.3">
      <c r="A92" t="s">
        <v>460</v>
      </c>
      <c r="B92" t="s">
        <v>460</v>
      </c>
      <c r="C92" t="s">
        <v>563</v>
      </c>
      <c r="D92" t="s">
        <v>564</v>
      </c>
      <c r="E92" t="s">
        <v>364</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t="s">
        <v>397</v>
      </c>
    </row>
    <row r="93" spans="1:43" x14ac:dyDescent="0.3">
      <c r="A93" t="s">
        <v>463</v>
      </c>
      <c r="B93" t="s">
        <v>463</v>
      </c>
      <c r="C93" t="s">
        <v>565</v>
      </c>
      <c r="D93" t="s">
        <v>566</v>
      </c>
      <c r="E93" t="s">
        <v>364</v>
      </c>
      <c r="I93">
        <v>3.8213999999999998E-2</v>
      </c>
      <c r="J93">
        <v>3.4730999999999998E-2</v>
      </c>
      <c r="K93">
        <v>3.5930999999999998E-2</v>
      </c>
      <c r="L93">
        <v>3.5562999999999997E-2</v>
      </c>
      <c r="M93">
        <v>3.7589999999999998E-2</v>
      </c>
      <c r="N93">
        <v>3.7897E-2</v>
      </c>
      <c r="O93">
        <v>3.6366000000000002E-2</v>
      </c>
      <c r="P93">
        <v>2.5484E-2</v>
      </c>
      <c r="Q93">
        <v>2.6459E-2</v>
      </c>
      <c r="R93">
        <v>2.7015999999999998E-2</v>
      </c>
      <c r="S93">
        <v>2.7650999999999998E-2</v>
      </c>
      <c r="T93">
        <v>2.8215E-2</v>
      </c>
      <c r="U93">
        <v>2.8385000000000001E-2</v>
      </c>
      <c r="V93">
        <v>2.8472000000000001E-2</v>
      </c>
      <c r="W93">
        <v>2.8500000000000001E-2</v>
      </c>
      <c r="X93">
        <v>2.8628000000000001E-2</v>
      </c>
      <c r="Y93">
        <v>2.8490999999999999E-2</v>
      </c>
      <c r="Z93">
        <v>2.8171000000000002E-2</v>
      </c>
      <c r="AA93">
        <v>2.7771000000000001E-2</v>
      </c>
      <c r="AB93">
        <v>2.7150000000000001E-2</v>
      </c>
      <c r="AC93">
        <v>2.6460999999999998E-2</v>
      </c>
      <c r="AD93">
        <v>2.5975000000000002E-2</v>
      </c>
      <c r="AE93">
        <v>2.5482000000000001E-2</v>
      </c>
      <c r="AF93">
        <v>2.5048000000000001E-2</v>
      </c>
      <c r="AG93">
        <v>2.4641E-2</v>
      </c>
      <c r="AH93">
        <v>2.4250000000000001E-2</v>
      </c>
      <c r="AI93">
        <v>2.3826E-2</v>
      </c>
      <c r="AJ93">
        <v>2.3413E-2</v>
      </c>
      <c r="AK93">
        <v>2.3037999999999999E-2</v>
      </c>
      <c r="AL93">
        <v>2.2669999999999999E-2</v>
      </c>
      <c r="AM93">
        <v>2.2334E-2</v>
      </c>
      <c r="AN93">
        <v>2.2034999999999999E-2</v>
      </c>
      <c r="AO93">
        <v>2.1753000000000002E-2</v>
      </c>
      <c r="AP93">
        <v>2.1385999999999999E-2</v>
      </c>
      <c r="AQ93" s="6">
        <v>1E-3</v>
      </c>
    </row>
    <row r="94" spans="1:43" x14ac:dyDescent="0.3">
      <c r="A94" t="s">
        <v>466</v>
      </c>
      <c r="B94" t="s">
        <v>466</v>
      </c>
      <c r="C94" t="s">
        <v>567</v>
      </c>
      <c r="D94" t="s">
        <v>568</v>
      </c>
      <c r="E94" t="s">
        <v>364</v>
      </c>
      <c r="I94">
        <v>0.111349</v>
      </c>
      <c r="J94">
        <v>0.11107400000000001</v>
      </c>
      <c r="K94">
        <v>0.128689</v>
      </c>
      <c r="L94">
        <v>0.12955700000000001</v>
      </c>
      <c r="M94">
        <v>0.13327900000000001</v>
      </c>
      <c r="N94">
        <v>0.123927</v>
      </c>
      <c r="O94">
        <v>0.12903500000000001</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s="6">
        <v>-5.0000000000000001E-3</v>
      </c>
    </row>
    <row r="95" spans="1:43" x14ac:dyDescent="0.3">
      <c r="A95" t="s">
        <v>373</v>
      </c>
      <c r="B95" t="s">
        <v>373</v>
      </c>
      <c r="C95" t="s">
        <v>569</v>
      </c>
      <c r="D95" t="s">
        <v>570</v>
      </c>
      <c r="E95" t="s">
        <v>364</v>
      </c>
      <c r="I95">
        <v>0.25097399999999997</v>
      </c>
      <c r="J95">
        <v>0.256025</v>
      </c>
      <c r="K95">
        <v>0.26167200000000002</v>
      </c>
      <c r="L95">
        <v>0.24692800000000001</v>
      </c>
      <c r="M95">
        <v>0.261961</v>
      </c>
      <c r="N95">
        <v>0.27161000000000002</v>
      </c>
      <c r="O95">
        <v>0.294375</v>
      </c>
      <c r="P95">
        <v>2.5484E-2</v>
      </c>
      <c r="Q95">
        <v>2.6459E-2</v>
      </c>
      <c r="R95">
        <v>2.7015999999999998E-2</v>
      </c>
      <c r="S95">
        <v>2.7650999999999998E-2</v>
      </c>
      <c r="T95">
        <v>2.8215E-2</v>
      </c>
      <c r="U95">
        <v>2.8385000000000001E-2</v>
      </c>
      <c r="V95">
        <v>2.8472000000000001E-2</v>
      </c>
      <c r="W95">
        <v>2.8500000000000001E-2</v>
      </c>
      <c r="X95">
        <v>2.8628000000000001E-2</v>
      </c>
      <c r="Y95">
        <v>2.8490999999999999E-2</v>
      </c>
      <c r="Z95">
        <v>2.8171000000000002E-2</v>
      </c>
      <c r="AA95">
        <v>2.7771000000000001E-2</v>
      </c>
      <c r="AB95">
        <v>2.7150000000000001E-2</v>
      </c>
      <c r="AC95">
        <v>2.6460999999999998E-2</v>
      </c>
      <c r="AD95">
        <v>2.5975000000000002E-2</v>
      </c>
      <c r="AE95">
        <v>2.5482000000000001E-2</v>
      </c>
      <c r="AF95">
        <v>2.5048000000000001E-2</v>
      </c>
      <c r="AG95">
        <v>2.4641E-2</v>
      </c>
      <c r="AH95">
        <v>2.4250000000000001E-2</v>
      </c>
      <c r="AI95">
        <v>2.3826E-2</v>
      </c>
      <c r="AJ95">
        <v>2.3413E-2</v>
      </c>
      <c r="AK95">
        <v>2.3037999999999999E-2</v>
      </c>
      <c r="AL95">
        <v>2.2669999999999999E-2</v>
      </c>
      <c r="AM95">
        <v>2.2334E-2</v>
      </c>
      <c r="AN95">
        <v>2.2034999999999999E-2</v>
      </c>
      <c r="AO95">
        <v>2.1753000000000002E-2</v>
      </c>
      <c r="AP95">
        <v>2.1385999999999999E-2</v>
      </c>
      <c r="AQ95" s="6">
        <v>8.0000000000000002E-3</v>
      </c>
    </row>
    <row r="96" spans="1:43" x14ac:dyDescent="0.3">
      <c r="A96" t="s">
        <v>506</v>
      </c>
      <c r="B96" t="s">
        <v>506</v>
      </c>
      <c r="C96" t="s">
        <v>571</v>
      </c>
      <c r="D96" t="s">
        <v>572</v>
      </c>
      <c r="E96" t="s">
        <v>364</v>
      </c>
      <c r="I96">
        <v>9.2999999999999997E-5</v>
      </c>
      <c r="J96">
        <v>1.92E-4</v>
      </c>
      <c r="K96">
        <v>9.8999999999999994E-5</v>
      </c>
      <c r="L96">
        <v>2.2100000000000001E-4</v>
      </c>
      <c r="M96">
        <v>3.3199999999999999E-4</v>
      </c>
      <c r="N96">
        <v>4.4000000000000002E-4</v>
      </c>
      <c r="O96">
        <v>5.3399999999999997E-4</v>
      </c>
      <c r="P96">
        <v>0.115357</v>
      </c>
      <c r="Q96">
        <v>0.11726399999999999</v>
      </c>
      <c r="R96">
        <v>0.11483</v>
      </c>
      <c r="S96">
        <v>0.112502</v>
      </c>
      <c r="T96">
        <v>0.110099</v>
      </c>
      <c r="U96">
        <v>0.107422</v>
      </c>
      <c r="V96">
        <v>0.10457900000000001</v>
      </c>
      <c r="W96">
        <v>0.101281</v>
      </c>
      <c r="X96">
        <v>9.8132999999999998E-2</v>
      </c>
      <c r="Y96">
        <v>9.4334000000000001E-2</v>
      </c>
      <c r="Z96">
        <v>9.0697E-2</v>
      </c>
      <c r="AA96">
        <v>8.7219000000000005E-2</v>
      </c>
      <c r="AB96">
        <v>8.4293000000000007E-2</v>
      </c>
      <c r="AC96">
        <v>8.0770999999999996E-2</v>
      </c>
      <c r="AD96">
        <v>7.7691999999999997E-2</v>
      </c>
      <c r="AE96">
        <v>7.5419E-2</v>
      </c>
      <c r="AF96">
        <v>7.3752999999999999E-2</v>
      </c>
      <c r="AG96">
        <v>7.1625999999999995E-2</v>
      </c>
      <c r="AH96">
        <v>6.9622000000000003E-2</v>
      </c>
      <c r="AI96">
        <v>6.7972000000000005E-2</v>
      </c>
      <c r="AJ96">
        <v>6.7317000000000002E-2</v>
      </c>
      <c r="AK96">
        <v>6.6215999999999997E-2</v>
      </c>
      <c r="AL96">
        <v>6.5210000000000004E-2</v>
      </c>
      <c r="AM96">
        <v>6.4465999999999996E-2</v>
      </c>
      <c r="AN96">
        <v>6.3492000000000007E-2</v>
      </c>
      <c r="AO96">
        <v>6.3009999999999997E-2</v>
      </c>
      <c r="AP96">
        <v>6.3676999999999997E-2</v>
      </c>
      <c r="AQ96" s="6">
        <v>0.11</v>
      </c>
    </row>
    <row r="97" spans="1:43" x14ac:dyDescent="0.3">
      <c r="A97" t="s">
        <v>376</v>
      </c>
      <c r="B97" t="s">
        <v>176</v>
      </c>
      <c r="C97" t="s">
        <v>573</v>
      </c>
      <c r="D97" t="s">
        <v>574</v>
      </c>
      <c r="E97" t="s">
        <v>364</v>
      </c>
      <c r="I97">
        <v>1.416317</v>
      </c>
      <c r="J97">
        <v>1.405308</v>
      </c>
      <c r="K97">
        <v>1.3741989999999999</v>
      </c>
      <c r="L97">
        <v>1.376155</v>
      </c>
      <c r="M97">
        <v>1.3907020000000001</v>
      </c>
      <c r="N97">
        <v>1.4235329999999999</v>
      </c>
      <c r="O97">
        <v>1.3938280000000001</v>
      </c>
      <c r="P97">
        <v>0.21273700000000001</v>
      </c>
      <c r="Q97">
        <v>0.21988099999999999</v>
      </c>
      <c r="R97">
        <v>0.22095999999999999</v>
      </c>
      <c r="S97">
        <v>0.22051699999999999</v>
      </c>
      <c r="T97">
        <v>0.22107299999999999</v>
      </c>
      <c r="U97">
        <v>0.22373899999999999</v>
      </c>
      <c r="V97">
        <v>0.226521</v>
      </c>
      <c r="W97">
        <v>0.22875100000000001</v>
      </c>
      <c r="X97">
        <v>0.22995099999999999</v>
      </c>
      <c r="Y97">
        <v>0.22978000000000001</v>
      </c>
      <c r="Z97">
        <v>0.231715</v>
      </c>
      <c r="AA97">
        <v>0.234038</v>
      </c>
      <c r="AB97">
        <v>0.238676</v>
      </c>
      <c r="AC97">
        <v>0.24207600000000001</v>
      </c>
      <c r="AD97">
        <v>0.24487600000000001</v>
      </c>
      <c r="AE97">
        <v>0.24801100000000001</v>
      </c>
      <c r="AF97">
        <v>0.24944</v>
      </c>
      <c r="AG97">
        <v>0.24842800000000001</v>
      </c>
      <c r="AH97">
        <v>0.24849299999999999</v>
      </c>
      <c r="AI97">
        <v>0.24707599999999999</v>
      </c>
      <c r="AJ97">
        <v>0.246779</v>
      </c>
      <c r="AK97">
        <v>0.24851799999999999</v>
      </c>
      <c r="AL97">
        <v>0.250444</v>
      </c>
      <c r="AM97">
        <v>0.25350800000000001</v>
      </c>
      <c r="AN97">
        <v>0.25741599999999998</v>
      </c>
      <c r="AO97">
        <v>0.26176100000000002</v>
      </c>
      <c r="AP97">
        <v>0.26588000000000001</v>
      </c>
      <c r="AQ97" s="6">
        <v>3.0000000000000001E-3</v>
      </c>
    </row>
    <row r="98" spans="1:43" x14ac:dyDescent="0.3">
      <c r="A98" t="s">
        <v>379</v>
      </c>
      <c r="B98" t="s">
        <v>379</v>
      </c>
      <c r="C98" t="s">
        <v>575</v>
      </c>
      <c r="D98" t="s">
        <v>576</v>
      </c>
      <c r="E98" t="s">
        <v>364</v>
      </c>
      <c r="I98">
        <v>9.4579419999999992</v>
      </c>
      <c r="J98">
        <v>9.6013710000000003</v>
      </c>
      <c r="K98">
        <v>9.6055220000000006</v>
      </c>
      <c r="L98">
        <v>8.5675439999999998</v>
      </c>
      <c r="M98">
        <v>8.9983979999999999</v>
      </c>
      <c r="N98">
        <v>8.9423259999999996</v>
      </c>
      <c r="O98">
        <v>9.0022040000000008</v>
      </c>
      <c r="P98">
        <v>0.10603899999999999</v>
      </c>
      <c r="Q98">
        <v>0.10648100000000001</v>
      </c>
      <c r="R98">
        <v>0.107122</v>
      </c>
      <c r="S98">
        <v>0.107705</v>
      </c>
      <c r="T98">
        <v>0.108497</v>
      </c>
      <c r="U98">
        <v>0.109407</v>
      </c>
      <c r="V98">
        <v>0.110474</v>
      </c>
      <c r="W98">
        <v>0.11281099999999999</v>
      </c>
      <c r="X98">
        <v>0.118022</v>
      </c>
      <c r="Y98">
        <v>0.122837</v>
      </c>
      <c r="Z98">
        <v>0.12737499999999999</v>
      </c>
      <c r="AA98">
        <v>0.13156999999999999</v>
      </c>
      <c r="AB98">
        <v>0.13549700000000001</v>
      </c>
      <c r="AC98">
        <v>0.13936299999999999</v>
      </c>
      <c r="AD98">
        <v>0.14299100000000001</v>
      </c>
      <c r="AE98">
        <v>0.14649200000000001</v>
      </c>
      <c r="AF98">
        <v>0.14981700000000001</v>
      </c>
      <c r="AG98">
        <v>0.15290300000000001</v>
      </c>
      <c r="AH98">
        <v>0.15579999999999999</v>
      </c>
      <c r="AI98">
        <v>0.15840099999999999</v>
      </c>
      <c r="AJ98">
        <v>0.160827</v>
      </c>
      <c r="AK98">
        <v>0.16313900000000001</v>
      </c>
      <c r="AL98">
        <v>0.16523599999999999</v>
      </c>
      <c r="AM98">
        <v>0.16716</v>
      </c>
      <c r="AN98">
        <v>0.16906199999999999</v>
      </c>
      <c r="AO98">
        <v>0.17092499999999999</v>
      </c>
      <c r="AP98">
        <v>0.17258899999999999</v>
      </c>
      <c r="AQ98" s="6">
        <v>1E-3</v>
      </c>
    </row>
    <row r="99" spans="1:43" x14ac:dyDescent="0.3">
      <c r="A99" t="s">
        <v>382</v>
      </c>
      <c r="B99" t="s">
        <v>382</v>
      </c>
      <c r="C99" t="s">
        <v>577</v>
      </c>
      <c r="D99" t="s">
        <v>578</v>
      </c>
      <c r="E99" t="s">
        <v>364</v>
      </c>
      <c r="I99">
        <v>2.1446800000000001</v>
      </c>
      <c r="J99">
        <v>2.1816170000000001</v>
      </c>
      <c r="K99">
        <v>2.0417990000000001</v>
      </c>
      <c r="L99">
        <v>1.9491959999999999</v>
      </c>
      <c r="M99">
        <v>1.8659319999999999</v>
      </c>
      <c r="N99">
        <v>1.923923</v>
      </c>
      <c r="O99">
        <v>1.9789650000000001</v>
      </c>
      <c r="P99">
        <v>1.4264680000000001</v>
      </c>
      <c r="Q99">
        <v>1.4066460000000001</v>
      </c>
      <c r="R99">
        <v>1.4124300000000001</v>
      </c>
      <c r="S99">
        <v>1.444237</v>
      </c>
      <c r="T99">
        <v>1.47231</v>
      </c>
      <c r="U99">
        <v>1.5001869999999999</v>
      </c>
      <c r="V99">
        <v>1.528918</v>
      </c>
      <c r="W99">
        <v>1.5561670000000001</v>
      </c>
      <c r="X99">
        <v>1.5950390000000001</v>
      </c>
      <c r="Y99">
        <v>1.63897</v>
      </c>
      <c r="Z99">
        <v>1.688788</v>
      </c>
      <c r="AA99">
        <v>1.7404299999999999</v>
      </c>
      <c r="AB99">
        <v>1.7891189999999999</v>
      </c>
      <c r="AC99">
        <v>1.8354349999999999</v>
      </c>
      <c r="AD99">
        <v>1.8817159999999999</v>
      </c>
      <c r="AE99">
        <v>1.928023</v>
      </c>
      <c r="AF99">
        <v>1.973098</v>
      </c>
      <c r="AG99">
        <v>2.0154550000000002</v>
      </c>
      <c r="AH99">
        <v>2.0544929999999999</v>
      </c>
      <c r="AI99">
        <v>2.088835</v>
      </c>
      <c r="AJ99">
        <v>2.1215350000000002</v>
      </c>
      <c r="AK99">
        <v>2.1543800000000002</v>
      </c>
      <c r="AL99">
        <v>2.187462</v>
      </c>
      <c r="AM99">
        <v>2.2201379999999999</v>
      </c>
      <c r="AN99">
        <v>2.2524989999999998</v>
      </c>
      <c r="AO99">
        <v>2.2850440000000001</v>
      </c>
      <c r="AP99">
        <v>2.3166530000000001</v>
      </c>
      <c r="AQ99" s="6">
        <v>1E-3</v>
      </c>
    </row>
    <row r="100" spans="1:43" x14ac:dyDescent="0.3">
      <c r="A100" t="s">
        <v>169</v>
      </c>
      <c r="B100" t="s">
        <v>169</v>
      </c>
      <c r="C100" t="s">
        <v>579</v>
      </c>
      <c r="D100" t="s">
        <v>580</v>
      </c>
      <c r="E100" t="s">
        <v>364</v>
      </c>
      <c r="I100">
        <v>11.602620999999999</v>
      </c>
      <c r="J100">
        <v>11.782988</v>
      </c>
      <c r="K100">
        <v>11.647321</v>
      </c>
      <c r="L100">
        <v>10.51674</v>
      </c>
      <c r="M100">
        <v>10.864329</v>
      </c>
      <c r="N100">
        <v>10.866249</v>
      </c>
      <c r="O100">
        <v>10.981169</v>
      </c>
      <c r="P100">
        <v>9.070214</v>
      </c>
      <c r="Q100">
        <v>9.0619770000000006</v>
      </c>
      <c r="R100">
        <v>8.8919920000000001</v>
      </c>
      <c r="S100">
        <v>8.8905519999999996</v>
      </c>
      <c r="T100">
        <v>8.877027</v>
      </c>
      <c r="U100">
        <v>8.8493119999999994</v>
      </c>
      <c r="V100">
        <v>8.808548</v>
      </c>
      <c r="W100">
        <v>8.7564010000000003</v>
      </c>
      <c r="X100">
        <v>8.7002509999999997</v>
      </c>
      <c r="Y100">
        <v>8.6408760000000004</v>
      </c>
      <c r="Z100">
        <v>8.5911849999999994</v>
      </c>
      <c r="AA100">
        <v>8.5581790000000009</v>
      </c>
      <c r="AB100">
        <v>8.5225500000000007</v>
      </c>
      <c r="AC100">
        <v>8.4954269999999994</v>
      </c>
      <c r="AD100">
        <v>8.4846660000000007</v>
      </c>
      <c r="AE100">
        <v>8.4825040000000005</v>
      </c>
      <c r="AF100">
        <v>8.4891679999999994</v>
      </c>
      <c r="AG100">
        <v>8.4875319999999999</v>
      </c>
      <c r="AH100">
        <v>8.4805700000000002</v>
      </c>
      <c r="AI100">
        <v>8.4909569999999999</v>
      </c>
      <c r="AJ100">
        <v>8.5052339999999997</v>
      </c>
      <c r="AK100">
        <v>8.5277840000000005</v>
      </c>
      <c r="AL100">
        <v>8.546894</v>
      </c>
      <c r="AM100">
        <v>8.5824990000000003</v>
      </c>
      <c r="AN100">
        <v>8.6181940000000008</v>
      </c>
      <c r="AO100">
        <v>8.6669289999999997</v>
      </c>
      <c r="AP100">
        <v>8.7143650000000008</v>
      </c>
      <c r="AQ100" s="6">
        <v>1E-3</v>
      </c>
    </row>
    <row r="101" spans="1:43" x14ac:dyDescent="0.3">
      <c r="A101" t="s">
        <v>581</v>
      </c>
      <c r="B101" t="s">
        <v>581</v>
      </c>
      <c r="D101" t="s">
        <v>582</v>
      </c>
      <c r="P101">
        <v>0.67683899999999997</v>
      </c>
      <c r="Q101">
        <v>0.60739399999999999</v>
      </c>
      <c r="R101">
        <v>0.56395700000000004</v>
      </c>
      <c r="S101">
        <v>0.522895</v>
      </c>
      <c r="T101">
        <v>0.54931799999999997</v>
      </c>
      <c r="U101">
        <v>0.56854899999999997</v>
      </c>
      <c r="V101">
        <v>0.51902499999999996</v>
      </c>
      <c r="W101">
        <v>0.46370899999999998</v>
      </c>
      <c r="X101">
        <v>0.495807</v>
      </c>
      <c r="Y101">
        <v>0.44809700000000002</v>
      </c>
      <c r="Z101">
        <v>0.475852</v>
      </c>
      <c r="AA101">
        <v>0.48580600000000002</v>
      </c>
      <c r="AB101">
        <v>0.46653899999999998</v>
      </c>
      <c r="AC101">
        <v>0.45517800000000003</v>
      </c>
      <c r="AD101">
        <v>0.46239599999999997</v>
      </c>
      <c r="AE101">
        <v>0.445909</v>
      </c>
      <c r="AF101">
        <v>0.43919399999999997</v>
      </c>
      <c r="AG101">
        <v>0.45195600000000002</v>
      </c>
      <c r="AH101">
        <v>0.40481499999999998</v>
      </c>
      <c r="AI101">
        <v>0.45069999999999999</v>
      </c>
      <c r="AJ101">
        <v>0.42637999999999998</v>
      </c>
      <c r="AK101">
        <v>0.42009800000000003</v>
      </c>
      <c r="AL101">
        <v>0.40339700000000001</v>
      </c>
      <c r="AM101">
        <v>0.43201000000000001</v>
      </c>
      <c r="AN101">
        <v>0.42035400000000001</v>
      </c>
      <c r="AO101">
        <v>0.413188</v>
      </c>
      <c r="AP101">
        <v>0.40773500000000001</v>
      </c>
    </row>
    <row r="102" spans="1:43" x14ac:dyDescent="0.3">
      <c r="A102" t="s">
        <v>365</v>
      </c>
      <c r="B102" t="s">
        <v>365</v>
      </c>
      <c r="C102" t="s">
        <v>583</v>
      </c>
      <c r="D102" t="s">
        <v>584</v>
      </c>
      <c r="E102" t="s">
        <v>364</v>
      </c>
      <c r="I102">
        <v>1.772E-2</v>
      </c>
      <c r="J102">
        <v>1.7597000000000002E-2</v>
      </c>
      <c r="K102">
        <v>1.7128999999999998E-2</v>
      </c>
      <c r="L102">
        <v>1.7680999999999999E-2</v>
      </c>
      <c r="M102">
        <v>1.8733E-2</v>
      </c>
      <c r="N102">
        <v>1.772E-2</v>
      </c>
      <c r="O102">
        <v>1.6638E-2</v>
      </c>
      <c r="P102">
        <v>3.1333E-2</v>
      </c>
      <c r="Q102">
        <v>3.1487000000000001E-2</v>
      </c>
      <c r="R102">
        <v>3.1717000000000002E-2</v>
      </c>
      <c r="S102">
        <v>3.1951E-2</v>
      </c>
      <c r="T102">
        <v>3.2202000000000001E-2</v>
      </c>
      <c r="U102">
        <v>3.2565999999999998E-2</v>
      </c>
      <c r="V102">
        <v>3.2946000000000003E-2</v>
      </c>
      <c r="W102">
        <v>3.3822999999999999E-2</v>
      </c>
      <c r="X102">
        <v>3.5746E-2</v>
      </c>
      <c r="Y102">
        <v>3.7582999999999998E-2</v>
      </c>
      <c r="Z102">
        <v>3.9254999999999998E-2</v>
      </c>
      <c r="AA102">
        <v>4.0836999999999998E-2</v>
      </c>
      <c r="AB102">
        <v>4.2308999999999999E-2</v>
      </c>
      <c r="AC102">
        <v>4.3742000000000003E-2</v>
      </c>
      <c r="AD102">
        <v>4.5090999999999999E-2</v>
      </c>
      <c r="AE102">
        <v>4.6392000000000003E-2</v>
      </c>
      <c r="AF102">
        <v>4.7647000000000002E-2</v>
      </c>
      <c r="AG102">
        <v>4.8820000000000002E-2</v>
      </c>
      <c r="AH102">
        <v>4.9924000000000003E-2</v>
      </c>
      <c r="AI102">
        <v>5.0950000000000002E-2</v>
      </c>
      <c r="AJ102">
        <v>5.1886000000000002E-2</v>
      </c>
      <c r="AK102">
        <v>5.2769000000000003E-2</v>
      </c>
      <c r="AL102">
        <v>5.355E-2</v>
      </c>
      <c r="AM102">
        <v>5.4310999999999998E-2</v>
      </c>
      <c r="AN102">
        <v>5.5031999999999998E-2</v>
      </c>
      <c r="AO102">
        <v>5.5707E-2</v>
      </c>
      <c r="AP102">
        <v>5.6283E-2</v>
      </c>
      <c r="AQ102" s="6">
        <v>-1.4E-2</v>
      </c>
    </row>
    <row r="103" spans="1:43" x14ac:dyDescent="0.3">
      <c r="A103" t="s">
        <v>400</v>
      </c>
      <c r="B103" t="s">
        <v>400</v>
      </c>
      <c r="C103" t="s">
        <v>585</v>
      </c>
      <c r="D103" t="s">
        <v>586</v>
      </c>
      <c r="E103" t="s">
        <v>364</v>
      </c>
      <c r="I103">
        <v>5.6840000000000002E-2</v>
      </c>
      <c r="J103">
        <v>3.9690999999999997E-2</v>
      </c>
      <c r="K103">
        <v>3.7597999999999999E-2</v>
      </c>
      <c r="L103">
        <v>2.8072E-2</v>
      </c>
      <c r="M103">
        <v>2.6745000000000001E-2</v>
      </c>
      <c r="N103">
        <v>2.6945E-2</v>
      </c>
      <c r="O103">
        <v>2.5763999999999999E-2</v>
      </c>
      <c r="P103">
        <v>9.7783859999999994</v>
      </c>
      <c r="Q103">
        <v>9.7008580000000002</v>
      </c>
      <c r="R103">
        <v>9.4876649999999998</v>
      </c>
      <c r="S103">
        <v>9.4453980000000008</v>
      </c>
      <c r="T103">
        <v>9.4585469999999994</v>
      </c>
      <c r="U103">
        <v>9.4504269999999995</v>
      </c>
      <c r="V103">
        <v>9.360519</v>
      </c>
      <c r="W103">
        <v>9.253933</v>
      </c>
      <c r="X103">
        <v>9.2318040000000003</v>
      </c>
      <c r="Y103">
        <v>9.1265560000000008</v>
      </c>
      <c r="Z103">
        <v>9.1062930000000009</v>
      </c>
      <c r="AA103">
        <v>9.0848230000000001</v>
      </c>
      <c r="AB103">
        <v>9.0313990000000004</v>
      </c>
      <c r="AC103">
        <v>8.9943469999999994</v>
      </c>
      <c r="AD103">
        <v>8.9921530000000001</v>
      </c>
      <c r="AE103">
        <v>8.9748059999999992</v>
      </c>
      <c r="AF103">
        <v>8.9760089999999995</v>
      </c>
      <c r="AG103">
        <v>8.9883089999999992</v>
      </c>
      <c r="AH103">
        <v>8.9353090000000002</v>
      </c>
      <c r="AI103">
        <v>8.9926069999999996</v>
      </c>
      <c r="AJ103">
        <v>8.9834999999999994</v>
      </c>
      <c r="AK103">
        <v>9.0006509999999995</v>
      </c>
      <c r="AL103">
        <v>9.0038409999999995</v>
      </c>
      <c r="AM103">
        <v>9.0688189999999995</v>
      </c>
      <c r="AN103">
        <v>9.0935799999999993</v>
      </c>
      <c r="AO103">
        <v>9.1358250000000005</v>
      </c>
      <c r="AP103">
        <v>9.1783839999999994</v>
      </c>
      <c r="AQ103" s="6">
        <v>-4.3999999999999997E-2</v>
      </c>
    </row>
    <row r="104" spans="1:43" x14ac:dyDescent="0.3">
      <c r="A104" t="s">
        <v>368</v>
      </c>
      <c r="B104" t="s">
        <v>368</v>
      </c>
      <c r="C104" t="s">
        <v>587</v>
      </c>
      <c r="D104" t="s">
        <v>588</v>
      </c>
      <c r="E104" t="s">
        <v>364</v>
      </c>
      <c r="I104">
        <v>7.4560000000000001E-2</v>
      </c>
      <c r="J104">
        <v>5.7287999999999999E-2</v>
      </c>
      <c r="K104">
        <v>5.4725999999999997E-2</v>
      </c>
      <c r="L104">
        <v>4.5753000000000002E-2</v>
      </c>
      <c r="M104">
        <v>4.5477999999999998E-2</v>
      </c>
      <c r="N104">
        <v>4.4664000000000002E-2</v>
      </c>
      <c r="O104">
        <v>4.2402000000000002E-2</v>
      </c>
      <c r="AQ104" s="6">
        <v>-3.1E-2</v>
      </c>
    </row>
    <row r="105" spans="1:43" x14ac:dyDescent="0.3">
      <c r="A105" t="s">
        <v>98</v>
      </c>
      <c r="B105" t="s">
        <v>98</v>
      </c>
      <c r="C105" t="s">
        <v>589</v>
      </c>
      <c r="D105" t="s">
        <v>590</v>
      </c>
      <c r="E105" t="s">
        <v>364</v>
      </c>
      <c r="I105">
        <v>0.84089999999999998</v>
      </c>
      <c r="J105">
        <v>0.87354200000000004</v>
      </c>
      <c r="K105">
        <v>0.83400300000000005</v>
      </c>
      <c r="L105">
        <v>0.84768100000000002</v>
      </c>
      <c r="M105">
        <v>0.88740699999999995</v>
      </c>
      <c r="N105">
        <v>0.85511999999999999</v>
      </c>
      <c r="O105">
        <v>0.78984699999999997</v>
      </c>
      <c r="P105">
        <v>1.8123E-2</v>
      </c>
      <c r="Q105">
        <v>1.7447000000000001E-2</v>
      </c>
      <c r="R105">
        <v>1.7142999999999999E-2</v>
      </c>
      <c r="S105">
        <v>1.7312000000000001E-2</v>
      </c>
      <c r="T105">
        <v>1.7378000000000001E-2</v>
      </c>
      <c r="U105">
        <v>1.7469999999999999E-2</v>
      </c>
      <c r="V105">
        <v>1.7562999999999999E-2</v>
      </c>
      <c r="W105">
        <v>1.7722999999999999E-2</v>
      </c>
      <c r="X105">
        <v>1.8068000000000001E-2</v>
      </c>
      <c r="Y105">
        <v>1.8225999999999999E-2</v>
      </c>
      <c r="Z105">
        <v>1.8540000000000001E-2</v>
      </c>
      <c r="AA105">
        <v>1.8898999999999999E-2</v>
      </c>
      <c r="AB105">
        <v>1.8985999999999999E-2</v>
      </c>
      <c r="AC105">
        <v>1.9127000000000002E-2</v>
      </c>
      <c r="AD105">
        <v>1.9243E-2</v>
      </c>
      <c r="AE105">
        <v>1.9366999999999999E-2</v>
      </c>
      <c r="AF105">
        <v>1.9428000000000001E-2</v>
      </c>
      <c r="AG105">
        <v>1.8922000000000001E-2</v>
      </c>
      <c r="AH105">
        <v>1.8283000000000001E-2</v>
      </c>
      <c r="AI105">
        <v>1.7613E-2</v>
      </c>
      <c r="AJ105">
        <v>1.6877E-2</v>
      </c>
      <c r="AK105">
        <v>1.6341000000000001E-2</v>
      </c>
      <c r="AL105">
        <v>1.6563999999999999E-2</v>
      </c>
      <c r="AM105">
        <v>1.6806999999999999E-2</v>
      </c>
      <c r="AN105">
        <v>1.7051E-2</v>
      </c>
      <c r="AO105">
        <v>1.7312999999999999E-2</v>
      </c>
      <c r="AP105">
        <v>1.7495E-2</v>
      </c>
      <c r="AQ105" s="6">
        <v>-0.01</v>
      </c>
    </row>
    <row r="106" spans="1:43" x14ac:dyDescent="0.3">
      <c r="A106" t="s">
        <v>591</v>
      </c>
      <c r="B106" t="s">
        <v>591</v>
      </c>
      <c r="C106" t="s">
        <v>592</v>
      </c>
      <c r="D106" t="s">
        <v>593</v>
      </c>
      <c r="E106" t="s">
        <v>364</v>
      </c>
      <c r="I106">
        <v>0.10199999999999999</v>
      </c>
      <c r="J106">
        <v>0.13295299999999999</v>
      </c>
      <c r="K106">
        <v>0.10713</v>
      </c>
      <c r="L106">
        <v>8.1876000000000004E-2</v>
      </c>
      <c r="M106">
        <v>5.3372000000000003E-2</v>
      </c>
      <c r="N106">
        <v>4.3713000000000002E-2</v>
      </c>
      <c r="O106">
        <v>4.6685999999999998E-2</v>
      </c>
      <c r="P106">
        <v>3.1975000000000003E-2</v>
      </c>
      <c r="Q106">
        <v>3.0762999999999999E-2</v>
      </c>
      <c r="R106">
        <v>3.0117999999999999E-2</v>
      </c>
      <c r="S106">
        <v>3.0026000000000001E-2</v>
      </c>
      <c r="T106">
        <v>2.9801999999999999E-2</v>
      </c>
      <c r="U106">
        <v>2.9561E-2</v>
      </c>
      <c r="V106">
        <v>2.9297E-2</v>
      </c>
      <c r="W106">
        <v>2.9361000000000002E-2</v>
      </c>
      <c r="X106">
        <v>2.9621000000000001E-2</v>
      </c>
      <c r="Y106">
        <v>2.9947999999999999E-2</v>
      </c>
      <c r="Z106">
        <v>3.0356000000000001E-2</v>
      </c>
      <c r="AA106">
        <v>3.0769999999999999E-2</v>
      </c>
      <c r="AB106">
        <v>3.0474999999999999E-2</v>
      </c>
      <c r="AC106">
        <v>3.0079000000000002E-2</v>
      </c>
      <c r="AD106">
        <v>2.9621000000000001E-2</v>
      </c>
      <c r="AE106">
        <v>2.9108999999999999E-2</v>
      </c>
      <c r="AF106">
        <v>2.8521000000000001E-2</v>
      </c>
      <c r="AG106">
        <v>2.5725999999999999E-2</v>
      </c>
      <c r="AH106">
        <v>2.274E-2</v>
      </c>
      <c r="AI106">
        <v>1.9595000000000001E-2</v>
      </c>
      <c r="AJ106">
        <v>1.6317000000000002E-2</v>
      </c>
      <c r="AK106">
        <v>1.2944000000000001E-2</v>
      </c>
      <c r="AL106">
        <v>1.3124E-2</v>
      </c>
      <c r="AM106">
        <v>1.332E-2</v>
      </c>
      <c r="AN106">
        <v>1.3517E-2</v>
      </c>
      <c r="AO106">
        <v>1.3712999999999999E-2</v>
      </c>
      <c r="AP106">
        <v>1.3903E-2</v>
      </c>
      <c r="AQ106" s="6">
        <v>-7.0999999999999994E-2</v>
      </c>
    </row>
    <row r="107" spans="1:43" x14ac:dyDescent="0.3">
      <c r="A107" t="s">
        <v>594</v>
      </c>
      <c r="B107" t="s">
        <v>594</v>
      </c>
      <c r="C107" t="s">
        <v>595</v>
      </c>
      <c r="D107" t="s">
        <v>596</v>
      </c>
      <c r="E107" t="s">
        <v>364</v>
      </c>
      <c r="I107">
        <v>0.28512100000000001</v>
      </c>
      <c r="J107">
        <v>0.28783300000000001</v>
      </c>
      <c r="K107">
        <v>0.28642200000000001</v>
      </c>
      <c r="L107">
        <v>0.27961599999999998</v>
      </c>
      <c r="M107">
        <v>0.280111</v>
      </c>
      <c r="N107">
        <v>0.27493800000000002</v>
      </c>
      <c r="O107">
        <v>0.27768199999999998</v>
      </c>
      <c r="P107">
        <v>5.0097999999999997E-2</v>
      </c>
      <c r="Q107">
        <v>4.8210000000000003E-2</v>
      </c>
      <c r="R107">
        <v>4.7260999999999997E-2</v>
      </c>
      <c r="S107">
        <v>4.7337999999999998E-2</v>
      </c>
      <c r="T107">
        <v>4.718E-2</v>
      </c>
      <c r="U107">
        <v>4.7031000000000003E-2</v>
      </c>
      <c r="V107">
        <v>4.6861E-2</v>
      </c>
      <c r="W107">
        <v>4.7084000000000001E-2</v>
      </c>
      <c r="X107">
        <v>4.7689000000000002E-2</v>
      </c>
      <c r="Y107">
        <v>4.8174000000000002E-2</v>
      </c>
      <c r="Z107">
        <v>4.8895000000000001E-2</v>
      </c>
      <c r="AA107">
        <v>4.9668999999999998E-2</v>
      </c>
      <c r="AB107">
        <v>4.9461999999999999E-2</v>
      </c>
      <c r="AC107">
        <v>4.9206E-2</v>
      </c>
      <c r="AD107">
        <v>4.8864999999999999E-2</v>
      </c>
      <c r="AE107">
        <v>4.8475999999999998E-2</v>
      </c>
      <c r="AF107">
        <v>4.7948999999999999E-2</v>
      </c>
      <c r="AG107">
        <v>4.4649000000000001E-2</v>
      </c>
      <c r="AH107">
        <v>4.1022999999999997E-2</v>
      </c>
      <c r="AI107">
        <v>3.7207999999999998E-2</v>
      </c>
      <c r="AJ107">
        <v>3.3194000000000001E-2</v>
      </c>
      <c r="AK107">
        <v>2.9284999999999999E-2</v>
      </c>
      <c r="AL107">
        <v>2.9687999999999999E-2</v>
      </c>
      <c r="AM107">
        <v>3.0127000000000001E-2</v>
      </c>
      <c r="AN107">
        <v>3.0568000000000001E-2</v>
      </c>
      <c r="AO107">
        <v>3.1025E-2</v>
      </c>
      <c r="AP107">
        <v>3.1399000000000003E-2</v>
      </c>
      <c r="AQ107" s="6">
        <v>-3.2000000000000001E-2</v>
      </c>
    </row>
    <row r="108" spans="1:43" x14ac:dyDescent="0.3">
      <c r="A108" t="s">
        <v>373</v>
      </c>
      <c r="B108" t="s">
        <v>373</v>
      </c>
      <c r="C108" t="s">
        <v>597</v>
      </c>
      <c r="D108" t="s">
        <v>598</v>
      </c>
      <c r="E108" t="s">
        <v>364</v>
      </c>
      <c r="I108">
        <v>2.237088</v>
      </c>
      <c r="J108">
        <v>2.2146520000000001</v>
      </c>
      <c r="K108">
        <v>2.1159949999999998</v>
      </c>
      <c r="L108">
        <v>2.0615480000000002</v>
      </c>
      <c r="M108">
        <v>1.9482409999999999</v>
      </c>
      <c r="N108">
        <v>2.095062</v>
      </c>
      <c r="O108">
        <v>2.1766649999999998</v>
      </c>
      <c r="P108">
        <v>1.0269790000000001</v>
      </c>
      <c r="Q108">
        <v>0.855043</v>
      </c>
      <c r="R108">
        <v>0.75134500000000004</v>
      </c>
      <c r="S108">
        <v>0.718387</v>
      </c>
      <c r="T108">
        <v>0.77647600000000006</v>
      </c>
      <c r="U108">
        <v>0.82492699999999997</v>
      </c>
      <c r="V108">
        <v>0.89458400000000005</v>
      </c>
      <c r="W108">
        <v>0.94784299999999999</v>
      </c>
      <c r="X108">
        <v>1.0000899999999999</v>
      </c>
      <c r="Y108">
        <v>0.93092900000000001</v>
      </c>
      <c r="Z108">
        <v>0.94797500000000001</v>
      </c>
      <c r="AA108">
        <v>0.93330900000000006</v>
      </c>
      <c r="AB108">
        <v>0.88803600000000005</v>
      </c>
      <c r="AC108">
        <v>0.82574800000000004</v>
      </c>
      <c r="AD108">
        <v>0.78474999999999995</v>
      </c>
      <c r="AE108">
        <v>0.737564</v>
      </c>
      <c r="AF108">
        <v>0.72335400000000005</v>
      </c>
      <c r="AG108">
        <v>0.72927500000000001</v>
      </c>
      <c r="AH108">
        <v>0.67365200000000003</v>
      </c>
      <c r="AI108">
        <v>0.70687199999999994</v>
      </c>
      <c r="AJ108">
        <v>0.68417700000000004</v>
      </c>
      <c r="AK108">
        <v>0.66288899999999995</v>
      </c>
      <c r="AL108">
        <v>0.61883600000000005</v>
      </c>
      <c r="AM108">
        <v>0.64031800000000005</v>
      </c>
      <c r="AN108">
        <v>0.63765499999999997</v>
      </c>
      <c r="AO108">
        <v>0.62915399999999999</v>
      </c>
      <c r="AP108">
        <v>0.62118799999999996</v>
      </c>
      <c r="AQ108" s="6">
        <v>0.01</v>
      </c>
    </row>
    <row r="109" spans="1:43" x14ac:dyDescent="0.3">
      <c r="A109" t="s">
        <v>599</v>
      </c>
      <c r="B109" t="s">
        <v>599</v>
      </c>
      <c r="C109" t="s">
        <v>600</v>
      </c>
      <c r="D109" t="s">
        <v>601</v>
      </c>
      <c r="E109" t="s">
        <v>364</v>
      </c>
      <c r="I109">
        <v>5.5599999999999998E-3</v>
      </c>
      <c r="J109">
        <v>5.5599999999999998E-3</v>
      </c>
      <c r="K109">
        <v>5.2700000000000004E-3</v>
      </c>
      <c r="L109">
        <v>5.5420000000000001E-3</v>
      </c>
      <c r="M109">
        <v>5.6769999999999998E-3</v>
      </c>
      <c r="N109">
        <v>5.8609999999999999E-3</v>
      </c>
      <c r="O109">
        <v>5.8609999999999999E-3</v>
      </c>
      <c r="P109">
        <v>3.0856000000000001E-2</v>
      </c>
      <c r="Q109">
        <v>3.2962999999999999E-2</v>
      </c>
      <c r="R109">
        <v>1.0707E-2</v>
      </c>
      <c r="S109">
        <v>1.095E-2</v>
      </c>
      <c r="T109">
        <v>1.1158E-2</v>
      </c>
      <c r="U109">
        <v>1.1368E-2</v>
      </c>
      <c r="V109">
        <v>1.1585E-2</v>
      </c>
      <c r="W109">
        <v>1.1790999999999999E-2</v>
      </c>
      <c r="X109">
        <v>1.2086E-2</v>
      </c>
      <c r="Y109">
        <v>1.2415000000000001E-2</v>
      </c>
      <c r="Z109">
        <v>1.2791E-2</v>
      </c>
      <c r="AA109">
        <v>1.3183E-2</v>
      </c>
      <c r="AB109">
        <v>1.3552E-2</v>
      </c>
      <c r="AC109">
        <v>1.3903E-2</v>
      </c>
      <c r="AD109">
        <v>1.4255E-2</v>
      </c>
      <c r="AE109">
        <v>1.4609E-2</v>
      </c>
      <c r="AF109">
        <v>1.4955E-2</v>
      </c>
      <c r="AG109">
        <v>1.5273E-2</v>
      </c>
      <c r="AH109">
        <v>1.5565000000000001E-2</v>
      </c>
      <c r="AI109">
        <v>1.5826E-2</v>
      </c>
      <c r="AJ109">
        <v>1.6081000000000002E-2</v>
      </c>
      <c r="AK109">
        <v>1.6336E-2</v>
      </c>
      <c r="AL109">
        <v>1.6570999999999999E-2</v>
      </c>
      <c r="AM109">
        <v>1.6818E-2</v>
      </c>
      <c r="AN109">
        <v>1.7068E-2</v>
      </c>
      <c r="AO109">
        <v>1.7314E-2</v>
      </c>
      <c r="AP109">
        <v>1.7555000000000001E-2</v>
      </c>
      <c r="AQ109" s="6">
        <v>0</v>
      </c>
    </row>
    <row r="110" spans="1:43" x14ac:dyDescent="0.3">
      <c r="A110" t="s">
        <v>602</v>
      </c>
      <c r="B110" t="s">
        <v>602</v>
      </c>
      <c r="C110" t="s">
        <v>603</v>
      </c>
      <c r="D110" t="s">
        <v>604</v>
      </c>
      <c r="E110" t="s">
        <v>364</v>
      </c>
      <c r="I110">
        <v>1.5768999999999998E-2</v>
      </c>
      <c r="J110">
        <v>1.5095000000000001E-2</v>
      </c>
      <c r="K110">
        <v>1.2452E-2</v>
      </c>
      <c r="L110">
        <v>3.336E-3</v>
      </c>
      <c r="M110">
        <v>3.6347999999999998E-2</v>
      </c>
      <c r="N110">
        <v>2.8097E-2</v>
      </c>
      <c r="O110">
        <v>3.3648999999999998E-2</v>
      </c>
      <c r="P110">
        <v>0.23599600000000001</v>
      </c>
      <c r="Q110">
        <v>0.25807600000000003</v>
      </c>
      <c r="R110">
        <v>0.27632699999999999</v>
      </c>
      <c r="S110">
        <v>0.27569700000000003</v>
      </c>
      <c r="T110">
        <v>0.27569700000000003</v>
      </c>
      <c r="U110">
        <v>0.27569700000000003</v>
      </c>
      <c r="V110">
        <v>0.182418</v>
      </c>
      <c r="W110">
        <v>9.5607999999999999E-2</v>
      </c>
      <c r="X110">
        <v>9.5607999999999999E-2</v>
      </c>
      <c r="Y110">
        <v>9.5607999999999999E-2</v>
      </c>
      <c r="Z110">
        <v>9.5607999999999999E-2</v>
      </c>
      <c r="AA110">
        <v>9.5607999999999999E-2</v>
      </c>
      <c r="AB110">
        <v>9.1403999999999999E-2</v>
      </c>
      <c r="AC110">
        <v>8.6813000000000001E-2</v>
      </c>
      <c r="AD110">
        <v>8.5556999999999994E-2</v>
      </c>
      <c r="AE110">
        <v>8.4278000000000006E-2</v>
      </c>
      <c r="AF110">
        <v>8.3867999999999998E-2</v>
      </c>
      <c r="AG110">
        <v>8.4047999999999998E-2</v>
      </c>
      <c r="AH110">
        <v>8.4352999999999997E-2</v>
      </c>
      <c r="AI110">
        <v>8.4324999999999997E-2</v>
      </c>
      <c r="AJ110">
        <v>8.4164000000000003E-2</v>
      </c>
      <c r="AK110">
        <v>8.4148000000000001E-2</v>
      </c>
      <c r="AL110">
        <v>8.0325999999999995E-2</v>
      </c>
      <c r="AM110">
        <v>8.3284999999999998E-2</v>
      </c>
      <c r="AN110">
        <v>8.3113000000000006E-2</v>
      </c>
      <c r="AO110">
        <v>8.3443000000000003E-2</v>
      </c>
      <c r="AP110">
        <v>8.3485000000000004E-2</v>
      </c>
      <c r="AQ110" s="6">
        <v>2E-3</v>
      </c>
    </row>
    <row r="111" spans="1:43" x14ac:dyDescent="0.3">
      <c r="A111" t="s">
        <v>169</v>
      </c>
      <c r="B111" t="s">
        <v>169</v>
      </c>
      <c r="C111" t="s">
        <v>605</v>
      </c>
      <c r="D111" t="s">
        <v>606</v>
      </c>
      <c r="E111" t="s">
        <v>364</v>
      </c>
      <c r="I111">
        <v>3.560997</v>
      </c>
      <c r="J111">
        <v>3.5869249999999999</v>
      </c>
      <c r="K111">
        <v>3.4159980000000001</v>
      </c>
      <c r="L111">
        <v>3.3253509999999999</v>
      </c>
      <c r="M111">
        <v>3.256634</v>
      </c>
      <c r="N111">
        <v>3.3474560000000002</v>
      </c>
      <c r="O111">
        <v>3.3727930000000002</v>
      </c>
      <c r="P111">
        <v>0.78161199999999997</v>
      </c>
      <c r="Q111">
        <v>0.84671200000000002</v>
      </c>
      <c r="R111">
        <v>0.92402499999999999</v>
      </c>
      <c r="S111">
        <v>0.96394999999999997</v>
      </c>
      <c r="T111">
        <v>0.97048000000000001</v>
      </c>
      <c r="U111">
        <v>0.97443400000000002</v>
      </c>
      <c r="V111">
        <v>0.98370400000000002</v>
      </c>
      <c r="W111">
        <v>0.99048000000000003</v>
      </c>
      <c r="X111">
        <v>1.0096879999999999</v>
      </c>
      <c r="Y111">
        <v>1.075658</v>
      </c>
      <c r="Z111">
        <v>1.1345879999999999</v>
      </c>
      <c r="AA111">
        <v>1.210836</v>
      </c>
      <c r="AB111">
        <v>1.287094</v>
      </c>
      <c r="AC111">
        <v>1.386625</v>
      </c>
      <c r="AD111">
        <v>1.481995</v>
      </c>
      <c r="AE111">
        <v>1.558959</v>
      </c>
      <c r="AF111">
        <v>1.613516</v>
      </c>
      <c r="AG111">
        <v>1.6684190000000001</v>
      </c>
      <c r="AH111">
        <v>1.7159329999999999</v>
      </c>
      <c r="AI111">
        <v>1.759857</v>
      </c>
      <c r="AJ111">
        <v>1.794586</v>
      </c>
      <c r="AK111">
        <v>1.8456440000000001</v>
      </c>
      <c r="AL111">
        <v>1.9032960000000001</v>
      </c>
      <c r="AM111">
        <v>1.9377249999999999</v>
      </c>
      <c r="AN111">
        <v>1.9579200000000001</v>
      </c>
      <c r="AO111">
        <v>1.9891540000000001</v>
      </c>
      <c r="AP111">
        <v>2.0199950000000002</v>
      </c>
      <c r="AQ111" s="6">
        <v>2E-3</v>
      </c>
    </row>
    <row r="112" spans="1:43" x14ac:dyDescent="0.3">
      <c r="A112" t="s">
        <v>607</v>
      </c>
      <c r="B112" t="s">
        <v>607</v>
      </c>
      <c r="D112" t="s">
        <v>608</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row>
    <row r="113" spans="1:43" x14ac:dyDescent="0.3">
      <c r="A113" t="s">
        <v>423</v>
      </c>
      <c r="B113" t="s">
        <v>423</v>
      </c>
      <c r="C113" t="s">
        <v>609</v>
      </c>
      <c r="D113" t="s">
        <v>610</v>
      </c>
      <c r="E113" t="s">
        <v>364</v>
      </c>
      <c r="I113">
        <v>8.4312999999999999E-2</v>
      </c>
      <c r="J113">
        <v>9.3257999999999994E-2</v>
      </c>
      <c r="K113">
        <v>0.104336</v>
      </c>
      <c r="L113">
        <v>9.8833000000000004E-2</v>
      </c>
      <c r="M113">
        <v>8.4875000000000006E-2</v>
      </c>
      <c r="N113">
        <v>7.4788999999999994E-2</v>
      </c>
      <c r="O113">
        <v>7.6537999999999995E-2</v>
      </c>
      <c r="P113">
        <v>4.5389999999999996E-3</v>
      </c>
      <c r="Q113">
        <v>4.5389999999999996E-3</v>
      </c>
      <c r="R113">
        <v>4.5389999999999996E-3</v>
      </c>
      <c r="S113">
        <v>4.5389999999999996E-3</v>
      </c>
      <c r="T113">
        <v>4.5389999999999996E-3</v>
      </c>
      <c r="U113">
        <v>4.5389999999999996E-3</v>
      </c>
      <c r="V113">
        <v>4.5389999999999996E-3</v>
      </c>
      <c r="W113">
        <v>4.5389999999999996E-3</v>
      </c>
      <c r="X113">
        <v>4.5389999999999996E-3</v>
      </c>
      <c r="Y113">
        <v>4.5389999999999996E-3</v>
      </c>
      <c r="Z113">
        <v>4.5389999999999996E-3</v>
      </c>
      <c r="AA113">
        <v>4.5389999999999996E-3</v>
      </c>
      <c r="AB113">
        <v>4.5389999999999996E-3</v>
      </c>
      <c r="AC113">
        <v>4.5389999999999996E-3</v>
      </c>
      <c r="AD113">
        <v>4.5389999999999996E-3</v>
      </c>
      <c r="AE113">
        <v>4.5389999999999996E-3</v>
      </c>
      <c r="AF113">
        <v>4.5389999999999996E-3</v>
      </c>
      <c r="AG113">
        <v>4.5389999999999996E-3</v>
      </c>
      <c r="AH113">
        <v>4.5389999999999996E-3</v>
      </c>
      <c r="AI113">
        <v>4.5389999999999996E-3</v>
      </c>
      <c r="AJ113">
        <v>4.5389999999999996E-3</v>
      </c>
      <c r="AK113">
        <v>4.5389999999999996E-3</v>
      </c>
      <c r="AL113">
        <v>4.5389999999999996E-3</v>
      </c>
      <c r="AM113">
        <v>4.5389999999999996E-3</v>
      </c>
      <c r="AN113">
        <v>4.5389999999999996E-3</v>
      </c>
      <c r="AO113">
        <v>4.5389999999999996E-3</v>
      </c>
      <c r="AP113">
        <v>4.5389999999999996E-3</v>
      </c>
      <c r="AQ113" s="6">
        <v>-8.0000000000000002E-3</v>
      </c>
    </row>
    <row r="114" spans="1:43" x14ac:dyDescent="0.3">
      <c r="A114" t="s">
        <v>391</v>
      </c>
      <c r="B114" t="s">
        <v>391</v>
      </c>
      <c r="C114" t="s">
        <v>611</v>
      </c>
      <c r="D114" t="s">
        <v>612</v>
      </c>
      <c r="E114" t="s">
        <v>364</v>
      </c>
      <c r="I114">
        <v>2.4627849999999998</v>
      </c>
      <c r="J114">
        <v>2.4661580000000001</v>
      </c>
      <c r="K114">
        <v>2.471797</v>
      </c>
      <c r="L114">
        <v>2.1964589999999999</v>
      </c>
      <c r="M114">
        <v>2.3145009999999999</v>
      </c>
      <c r="N114">
        <v>2.1539389999999998</v>
      </c>
      <c r="O114">
        <v>2.1663869999999998</v>
      </c>
      <c r="P114">
        <v>-2.6360999999999999E-2</v>
      </c>
      <c r="Q114">
        <v>-3.1102999999999999E-2</v>
      </c>
      <c r="R114">
        <v>-3.7421999999999997E-2</v>
      </c>
      <c r="S114">
        <v>-5.3339999999999999E-2</v>
      </c>
      <c r="T114">
        <v>-6.3506999999999994E-2</v>
      </c>
      <c r="U114">
        <v>-6.8859000000000004E-2</v>
      </c>
      <c r="V114">
        <v>-7.5355000000000005E-2</v>
      </c>
      <c r="W114">
        <v>-7.7077999999999994E-2</v>
      </c>
      <c r="X114">
        <v>-7.8435000000000005E-2</v>
      </c>
      <c r="Y114">
        <v>-7.9828999999999997E-2</v>
      </c>
      <c r="Z114">
        <v>-7.9308000000000003E-2</v>
      </c>
      <c r="AA114">
        <v>-8.0442E-2</v>
      </c>
      <c r="AB114">
        <v>-7.7952999999999995E-2</v>
      </c>
      <c r="AC114">
        <v>-7.5734999999999997E-2</v>
      </c>
      <c r="AD114">
        <v>-7.5343999999999994E-2</v>
      </c>
      <c r="AE114">
        <v>-7.3976E-2</v>
      </c>
      <c r="AF114">
        <v>-7.5354000000000004E-2</v>
      </c>
      <c r="AG114">
        <v>-7.8237000000000001E-2</v>
      </c>
      <c r="AH114">
        <v>-7.5213000000000002E-2</v>
      </c>
      <c r="AI114">
        <v>-6.8529999999999994E-2</v>
      </c>
      <c r="AJ114">
        <v>-6.8264000000000005E-2</v>
      </c>
      <c r="AK114">
        <v>-6.7780000000000007E-2</v>
      </c>
      <c r="AL114">
        <v>-6.1823999999999997E-2</v>
      </c>
      <c r="AM114">
        <v>-6.0079E-2</v>
      </c>
      <c r="AN114">
        <v>-5.7418999999999998E-2</v>
      </c>
      <c r="AO114">
        <v>-5.5803999999999999E-2</v>
      </c>
      <c r="AP114">
        <v>-5.3175E-2</v>
      </c>
      <c r="AQ114" s="6">
        <v>-1.4999999999999999E-2</v>
      </c>
    </row>
    <row r="115" spans="1:43" x14ac:dyDescent="0.3">
      <c r="A115" t="s">
        <v>485</v>
      </c>
      <c r="B115" t="s">
        <v>485</v>
      </c>
      <c r="C115" t="s">
        <v>613</v>
      </c>
      <c r="D115" t="s">
        <v>614</v>
      </c>
      <c r="E115" t="s">
        <v>364</v>
      </c>
      <c r="I115">
        <v>1.3619999999999999E-3</v>
      </c>
      <c r="J115">
        <v>8.8000000000000005E-3</v>
      </c>
      <c r="K115">
        <v>2.7130000000000001E-3</v>
      </c>
      <c r="L115">
        <v>2.3990000000000001E-3</v>
      </c>
      <c r="M115">
        <v>2.7780000000000001E-3</v>
      </c>
      <c r="N115">
        <v>2.4399999999999999E-3</v>
      </c>
      <c r="O115">
        <v>2.6700000000000001E-3</v>
      </c>
      <c r="P115">
        <v>2.1037189999999999</v>
      </c>
      <c r="Q115">
        <v>2.0144410000000001</v>
      </c>
      <c r="R115">
        <v>1.976782</v>
      </c>
      <c r="S115">
        <v>1.967519</v>
      </c>
      <c r="T115">
        <v>2.0220220000000002</v>
      </c>
      <c r="U115">
        <v>2.0691359999999999</v>
      </c>
      <c r="V115">
        <v>2.0483359999999999</v>
      </c>
      <c r="W115">
        <v>2.020267</v>
      </c>
      <c r="X115">
        <v>2.0912639999999998</v>
      </c>
      <c r="Y115">
        <v>2.087494</v>
      </c>
      <c r="Z115">
        <v>2.165089</v>
      </c>
      <c r="AA115">
        <v>2.226702</v>
      </c>
      <c r="AB115">
        <v>2.2561339999999999</v>
      </c>
      <c r="AC115">
        <v>2.291099</v>
      </c>
      <c r="AD115">
        <v>2.3446159999999998</v>
      </c>
      <c r="AE115">
        <v>2.3744489999999998</v>
      </c>
      <c r="AF115">
        <v>2.4128270000000001</v>
      </c>
      <c r="AG115">
        <v>2.4679660000000001</v>
      </c>
      <c r="AH115">
        <v>2.4598520000000001</v>
      </c>
      <c r="AI115">
        <v>2.540098</v>
      </c>
      <c r="AJ115">
        <v>2.5484779999999998</v>
      </c>
      <c r="AK115">
        <v>2.575062</v>
      </c>
      <c r="AL115">
        <v>2.5914320000000002</v>
      </c>
      <c r="AM115">
        <v>2.6527340000000001</v>
      </c>
      <c r="AN115">
        <v>2.6734429999999998</v>
      </c>
      <c r="AO115">
        <v>2.6988259999999999</v>
      </c>
      <c r="AP115">
        <v>2.7249850000000002</v>
      </c>
      <c r="AQ115" s="6">
        <v>3.9E-2</v>
      </c>
    </row>
    <row r="116" spans="1:43" x14ac:dyDescent="0.3">
      <c r="A116" t="s">
        <v>488</v>
      </c>
      <c r="B116" t="s">
        <v>488</v>
      </c>
      <c r="C116" t="s">
        <v>615</v>
      </c>
      <c r="D116" t="s">
        <v>616</v>
      </c>
      <c r="E116" t="s">
        <v>364</v>
      </c>
      <c r="I116">
        <v>1.037347</v>
      </c>
      <c r="J116">
        <v>1.0670120000000001</v>
      </c>
      <c r="K116">
        <v>1.065018</v>
      </c>
      <c r="L116">
        <v>0.65032999999999996</v>
      </c>
      <c r="M116">
        <v>0.7419</v>
      </c>
      <c r="N116">
        <v>0.83894999999999997</v>
      </c>
      <c r="O116">
        <v>0.89466599999999996</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s="6">
        <v>8.9999999999999993E-3</v>
      </c>
    </row>
    <row r="117" spans="1:43" x14ac:dyDescent="0.3">
      <c r="A117" t="s">
        <v>394</v>
      </c>
      <c r="B117" t="s">
        <v>394</v>
      </c>
      <c r="C117" t="s">
        <v>617</v>
      </c>
      <c r="D117" t="s">
        <v>618</v>
      </c>
      <c r="E117" t="s">
        <v>364</v>
      </c>
      <c r="I117">
        <v>6.3E-5</v>
      </c>
      <c r="J117">
        <v>0</v>
      </c>
      <c r="K117">
        <v>9.2999999999999997E-5</v>
      </c>
      <c r="L117">
        <v>6.9999999999999994E-5</v>
      </c>
      <c r="M117">
        <v>7.7999999999999999E-5</v>
      </c>
      <c r="N117">
        <v>7.3999999999999996E-5</v>
      </c>
      <c r="O117">
        <v>8.1000000000000004E-5</v>
      </c>
      <c r="P117">
        <v>2.1037189999999999</v>
      </c>
      <c r="Q117">
        <v>2.0144410000000001</v>
      </c>
      <c r="R117">
        <v>1.976782</v>
      </c>
      <c r="S117">
        <v>1.967519</v>
      </c>
      <c r="T117">
        <v>2.0220220000000002</v>
      </c>
      <c r="U117">
        <v>2.0691359999999999</v>
      </c>
      <c r="V117">
        <v>2.0483359999999999</v>
      </c>
      <c r="W117">
        <v>2.020267</v>
      </c>
      <c r="X117">
        <v>2.0912639999999998</v>
      </c>
      <c r="Y117">
        <v>2.087494</v>
      </c>
      <c r="Z117">
        <v>2.165089</v>
      </c>
      <c r="AA117">
        <v>2.226702</v>
      </c>
      <c r="AB117">
        <v>2.2561339999999999</v>
      </c>
      <c r="AC117">
        <v>2.291099</v>
      </c>
      <c r="AD117">
        <v>2.3446159999999998</v>
      </c>
      <c r="AE117">
        <v>2.3744489999999998</v>
      </c>
      <c r="AF117">
        <v>2.4128270000000001</v>
      </c>
      <c r="AG117">
        <v>2.4679660000000001</v>
      </c>
      <c r="AH117">
        <v>2.4598520000000001</v>
      </c>
      <c r="AI117">
        <v>2.540098</v>
      </c>
      <c r="AJ117">
        <v>2.5484779999999998</v>
      </c>
      <c r="AK117">
        <v>2.575062</v>
      </c>
      <c r="AL117">
        <v>2.5914320000000002</v>
      </c>
      <c r="AM117">
        <v>2.6527340000000001</v>
      </c>
      <c r="AN117">
        <v>2.6734429999999998</v>
      </c>
      <c r="AO117">
        <v>2.6988259999999999</v>
      </c>
      <c r="AP117">
        <v>2.7249850000000002</v>
      </c>
      <c r="AQ117" t="s">
        <v>397</v>
      </c>
    </row>
    <row r="118" spans="1:43" x14ac:dyDescent="0.3">
      <c r="A118" t="s">
        <v>365</v>
      </c>
      <c r="B118" t="s">
        <v>365</v>
      </c>
      <c r="C118" t="s">
        <v>619</v>
      </c>
      <c r="D118" t="s">
        <v>620</v>
      </c>
      <c r="E118" t="s">
        <v>364</v>
      </c>
      <c r="I118">
        <v>0.91119099999999997</v>
      </c>
      <c r="J118">
        <v>0.94904500000000003</v>
      </c>
      <c r="K118">
        <v>0.95049399999999995</v>
      </c>
      <c r="L118">
        <v>0.856491</v>
      </c>
      <c r="M118">
        <v>0.89717899999999995</v>
      </c>
      <c r="N118">
        <v>0.89906799999999998</v>
      </c>
      <c r="O118">
        <v>0.922207</v>
      </c>
      <c r="AQ118" s="6">
        <v>3.0000000000000001E-3</v>
      </c>
    </row>
    <row r="119" spans="1:43" x14ac:dyDescent="0.3">
      <c r="A119" t="s">
        <v>400</v>
      </c>
      <c r="B119" t="s">
        <v>400</v>
      </c>
      <c r="C119" t="s">
        <v>621</v>
      </c>
      <c r="D119" t="s">
        <v>622</v>
      </c>
      <c r="E119" t="s">
        <v>364</v>
      </c>
      <c r="I119">
        <v>0.353244</v>
      </c>
      <c r="J119">
        <v>0.31502999999999998</v>
      </c>
      <c r="K119">
        <v>0.25810499999999997</v>
      </c>
      <c r="L119">
        <v>0.20072999999999999</v>
      </c>
      <c r="M119">
        <v>0.31260700000000002</v>
      </c>
      <c r="N119">
        <v>0.32843600000000001</v>
      </c>
      <c r="O119">
        <v>0.25954199999999999</v>
      </c>
      <c r="P119">
        <v>0.114842</v>
      </c>
      <c r="Q119">
        <v>0.11545</v>
      </c>
      <c r="R119">
        <v>0.116329</v>
      </c>
      <c r="S119">
        <v>0.117155</v>
      </c>
      <c r="T119">
        <v>0.11819499999999999</v>
      </c>
      <c r="U119">
        <v>0.119466</v>
      </c>
      <c r="V119">
        <v>0.120923</v>
      </c>
      <c r="W119">
        <v>0.12414600000000001</v>
      </c>
      <c r="X119">
        <v>0.131272</v>
      </c>
      <c r="Y119">
        <v>0.13793</v>
      </c>
      <c r="Z119">
        <v>0.14413400000000001</v>
      </c>
      <c r="AA119">
        <v>0.14990800000000001</v>
      </c>
      <c r="AB119">
        <v>0.155311</v>
      </c>
      <c r="AC119">
        <v>0.160611</v>
      </c>
      <c r="AD119">
        <v>0.16558500000000001</v>
      </c>
      <c r="AE119">
        <v>0.17039000000000001</v>
      </c>
      <c r="AF119">
        <v>0.17496900000000001</v>
      </c>
      <c r="AG119">
        <v>0.17922399999999999</v>
      </c>
      <c r="AH119">
        <v>0.18323800000000001</v>
      </c>
      <c r="AI119">
        <v>0.18685299999999999</v>
      </c>
      <c r="AJ119">
        <v>0.190221</v>
      </c>
      <c r="AK119">
        <v>0.193415</v>
      </c>
      <c r="AL119">
        <v>0.196298</v>
      </c>
      <c r="AM119">
        <v>0.19897799999999999</v>
      </c>
      <c r="AN119">
        <v>0.201603</v>
      </c>
      <c r="AO119">
        <v>0.20414399999999999</v>
      </c>
      <c r="AP119">
        <v>0.20638600000000001</v>
      </c>
      <c r="AQ119" s="6">
        <v>-1.0999999999999999E-2</v>
      </c>
    </row>
    <row r="120" spans="1:43" x14ac:dyDescent="0.3">
      <c r="A120" t="s">
        <v>432</v>
      </c>
      <c r="B120" t="s">
        <v>432</v>
      </c>
      <c r="C120" t="s">
        <v>623</v>
      </c>
      <c r="D120" t="s">
        <v>624</v>
      </c>
      <c r="E120" t="s">
        <v>364</v>
      </c>
      <c r="I120">
        <v>0</v>
      </c>
      <c r="J120">
        <v>0</v>
      </c>
      <c r="K120">
        <v>0</v>
      </c>
      <c r="L120">
        <v>0</v>
      </c>
      <c r="M120">
        <v>0</v>
      </c>
      <c r="N120">
        <v>0</v>
      </c>
      <c r="O120">
        <v>0</v>
      </c>
      <c r="P120">
        <v>2.7900000000000001E-4</v>
      </c>
      <c r="Q120">
        <v>2.7999999999999998E-4</v>
      </c>
      <c r="R120">
        <v>2.8299999999999999E-4</v>
      </c>
      <c r="S120">
        <v>2.8499999999999999E-4</v>
      </c>
      <c r="T120">
        <v>2.8699999999999998E-4</v>
      </c>
      <c r="U120">
        <v>2.9E-4</v>
      </c>
      <c r="V120">
        <v>2.9399999999999999E-4</v>
      </c>
      <c r="W120">
        <v>3.0200000000000002E-4</v>
      </c>
      <c r="X120">
        <v>3.19E-4</v>
      </c>
      <c r="Y120">
        <v>3.3500000000000001E-4</v>
      </c>
      <c r="Z120">
        <v>3.5E-4</v>
      </c>
      <c r="AA120">
        <v>3.6400000000000001E-4</v>
      </c>
      <c r="AB120">
        <v>3.77E-4</v>
      </c>
      <c r="AC120">
        <v>3.8999999999999999E-4</v>
      </c>
      <c r="AD120">
        <v>4.0400000000000001E-4</v>
      </c>
      <c r="AE120">
        <v>4.2000000000000002E-4</v>
      </c>
      <c r="AF120">
        <v>4.3800000000000002E-4</v>
      </c>
      <c r="AG120">
        <v>4.5300000000000001E-4</v>
      </c>
      <c r="AH120">
        <v>4.5399999999999998E-4</v>
      </c>
      <c r="AI120">
        <v>4.6299999999999998E-4</v>
      </c>
      <c r="AJ120">
        <v>4.6900000000000002E-4</v>
      </c>
      <c r="AK120">
        <v>4.8899999999999996E-4</v>
      </c>
      <c r="AL120">
        <v>4.84E-4</v>
      </c>
      <c r="AM120">
        <v>4.8999999999999998E-4</v>
      </c>
      <c r="AN120">
        <v>4.9700000000000005E-4</v>
      </c>
      <c r="AO120">
        <v>5.0299999999999997E-4</v>
      </c>
      <c r="AP120">
        <v>5.0699999999999996E-4</v>
      </c>
      <c r="AQ120" t="s">
        <v>397</v>
      </c>
    </row>
    <row r="121" spans="1:43" x14ac:dyDescent="0.3">
      <c r="A121" t="s">
        <v>435</v>
      </c>
      <c r="B121" t="s">
        <v>435</v>
      </c>
      <c r="C121" t="s">
        <v>625</v>
      </c>
      <c r="D121" t="s">
        <v>626</v>
      </c>
      <c r="E121" t="s">
        <v>364</v>
      </c>
      <c r="I121">
        <v>0.55424799999999996</v>
      </c>
      <c r="J121">
        <v>0.54416500000000001</v>
      </c>
      <c r="K121">
        <v>0.55160500000000001</v>
      </c>
      <c r="L121">
        <v>0.48769200000000001</v>
      </c>
      <c r="M121">
        <v>0.47777399999999998</v>
      </c>
      <c r="N121">
        <v>0.48330400000000001</v>
      </c>
      <c r="O121">
        <v>0.477802</v>
      </c>
      <c r="P121">
        <v>2.2398000000000001E-2</v>
      </c>
      <c r="Q121">
        <v>2.2398000000000001E-2</v>
      </c>
      <c r="R121">
        <v>2.2398000000000001E-2</v>
      </c>
      <c r="S121">
        <v>2.2398000000000001E-2</v>
      </c>
      <c r="T121">
        <v>2.2398000000000001E-2</v>
      </c>
      <c r="U121">
        <v>2.2398000000000001E-2</v>
      </c>
      <c r="V121">
        <v>2.2398000000000001E-2</v>
      </c>
      <c r="W121">
        <v>2.2398000000000001E-2</v>
      </c>
      <c r="X121">
        <v>2.2398000000000001E-2</v>
      </c>
      <c r="Y121">
        <v>2.2398000000000001E-2</v>
      </c>
      <c r="Z121">
        <v>2.2398000000000001E-2</v>
      </c>
      <c r="AA121">
        <v>2.2398000000000001E-2</v>
      </c>
      <c r="AB121">
        <v>2.2398000000000001E-2</v>
      </c>
      <c r="AC121">
        <v>2.2398000000000001E-2</v>
      </c>
      <c r="AD121">
        <v>2.2398000000000001E-2</v>
      </c>
      <c r="AE121">
        <v>2.2398000000000001E-2</v>
      </c>
      <c r="AF121">
        <v>2.2398000000000001E-2</v>
      </c>
      <c r="AG121">
        <v>2.2398000000000001E-2</v>
      </c>
      <c r="AH121">
        <v>2.2398000000000001E-2</v>
      </c>
      <c r="AI121">
        <v>2.2398000000000001E-2</v>
      </c>
      <c r="AJ121">
        <v>2.2398000000000001E-2</v>
      </c>
      <c r="AK121">
        <v>2.2398000000000001E-2</v>
      </c>
      <c r="AL121">
        <v>2.2398000000000001E-2</v>
      </c>
      <c r="AM121">
        <v>2.2398000000000001E-2</v>
      </c>
      <c r="AN121">
        <v>2.2398000000000001E-2</v>
      </c>
      <c r="AO121">
        <v>2.2398000000000001E-2</v>
      </c>
      <c r="AP121">
        <v>2.2398000000000001E-2</v>
      </c>
      <c r="AQ121" s="6">
        <v>-5.0000000000000001E-3</v>
      </c>
    </row>
    <row r="122" spans="1:43" x14ac:dyDescent="0.3">
      <c r="A122" t="s">
        <v>368</v>
      </c>
      <c r="B122" t="s">
        <v>368</v>
      </c>
      <c r="C122" t="s">
        <v>627</v>
      </c>
      <c r="D122" t="s">
        <v>628</v>
      </c>
      <c r="E122" t="s">
        <v>364</v>
      </c>
      <c r="I122">
        <v>5.4031909999999996</v>
      </c>
      <c r="J122">
        <v>5.4346690000000004</v>
      </c>
      <c r="K122">
        <v>5.4014470000000001</v>
      </c>
      <c r="L122">
        <v>4.4906050000000004</v>
      </c>
      <c r="M122">
        <v>4.8289140000000002</v>
      </c>
      <c r="N122">
        <v>4.7785589999999996</v>
      </c>
      <c r="O122">
        <v>4.7972229999999998</v>
      </c>
      <c r="P122">
        <v>0.137519</v>
      </c>
      <c r="Q122">
        <v>0.138128</v>
      </c>
      <c r="R122">
        <v>0.13900899999999999</v>
      </c>
      <c r="S122">
        <v>0.13983699999999999</v>
      </c>
      <c r="T122">
        <v>0.140879</v>
      </c>
      <c r="U122">
        <v>0.142154</v>
      </c>
      <c r="V122">
        <v>0.14361399999999999</v>
      </c>
      <c r="W122">
        <v>0.146846</v>
      </c>
      <c r="X122">
        <v>0.15398899999999999</v>
      </c>
      <c r="Y122">
        <v>0.160662</v>
      </c>
      <c r="Z122">
        <v>0.166882</v>
      </c>
      <c r="AA122">
        <v>0.17266999999999999</v>
      </c>
      <c r="AB122">
        <v>0.17808499999999999</v>
      </c>
      <c r="AC122">
        <v>0.18339900000000001</v>
      </c>
      <c r="AD122">
        <v>0.188387</v>
      </c>
      <c r="AE122">
        <v>0.19320699999999999</v>
      </c>
      <c r="AF122">
        <v>0.19780500000000001</v>
      </c>
      <c r="AG122">
        <v>0.202075</v>
      </c>
      <c r="AH122">
        <v>0.20608899999999999</v>
      </c>
      <c r="AI122">
        <v>0.20971400000000001</v>
      </c>
      <c r="AJ122">
        <v>0.213088</v>
      </c>
      <c r="AK122">
        <v>0.21630199999999999</v>
      </c>
      <c r="AL122">
        <v>0.21918000000000001</v>
      </c>
      <c r="AM122">
        <v>0.22186600000000001</v>
      </c>
      <c r="AN122">
        <v>0.224498</v>
      </c>
      <c r="AO122">
        <v>0.227045</v>
      </c>
      <c r="AP122">
        <v>0.22929099999999999</v>
      </c>
      <c r="AQ122" s="6">
        <v>-4.0000000000000001E-3</v>
      </c>
    </row>
    <row r="123" spans="1:43" x14ac:dyDescent="0.3">
      <c r="A123" t="s">
        <v>98</v>
      </c>
      <c r="B123" t="s">
        <v>98</v>
      </c>
      <c r="C123" t="s">
        <v>629</v>
      </c>
      <c r="D123" t="s">
        <v>630</v>
      </c>
      <c r="E123" t="s">
        <v>364</v>
      </c>
      <c r="I123">
        <v>2.8276979999999998</v>
      </c>
      <c r="J123">
        <v>2.952353</v>
      </c>
      <c r="K123">
        <v>2.9493109999999998</v>
      </c>
      <c r="L123">
        <v>2.8477190000000001</v>
      </c>
      <c r="M123">
        <v>2.9474450000000001</v>
      </c>
      <c r="N123">
        <v>2.8571520000000001</v>
      </c>
      <c r="O123">
        <v>2.8694500000000001</v>
      </c>
      <c r="P123">
        <v>1.3200000000000001E-4</v>
      </c>
      <c r="Q123">
        <v>1.21E-4</v>
      </c>
      <c r="R123">
        <v>1.13E-4</v>
      </c>
      <c r="S123">
        <v>1.03E-4</v>
      </c>
      <c r="T123">
        <v>1.07E-4</v>
      </c>
      <c r="U123">
        <v>1.1E-4</v>
      </c>
      <c r="V123">
        <v>1E-4</v>
      </c>
      <c r="W123">
        <v>9.0000000000000006E-5</v>
      </c>
      <c r="X123">
        <v>9.8999999999999994E-5</v>
      </c>
      <c r="Y123">
        <v>9.2E-5</v>
      </c>
      <c r="Z123">
        <v>9.8999999999999994E-5</v>
      </c>
      <c r="AA123">
        <v>1.02E-4</v>
      </c>
      <c r="AB123">
        <v>9.7999999999999997E-5</v>
      </c>
      <c r="AC123">
        <v>9.7E-5</v>
      </c>
      <c r="AD123">
        <v>9.8999999999999994E-5</v>
      </c>
      <c r="AE123">
        <v>9.7E-5</v>
      </c>
      <c r="AF123">
        <v>9.7999999999999997E-5</v>
      </c>
      <c r="AG123">
        <v>1.02E-4</v>
      </c>
      <c r="AH123">
        <v>9.0000000000000006E-5</v>
      </c>
      <c r="AI123">
        <v>1E-4</v>
      </c>
      <c r="AJ123">
        <v>9.3999999999999994E-5</v>
      </c>
      <c r="AK123">
        <v>9.5000000000000005E-5</v>
      </c>
      <c r="AL123">
        <v>8.8999999999999995E-5</v>
      </c>
      <c r="AM123">
        <v>9.5000000000000005E-5</v>
      </c>
      <c r="AN123">
        <v>9.2999999999999997E-5</v>
      </c>
      <c r="AO123">
        <v>9.1000000000000003E-5</v>
      </c>
      <c r="AP123">
        <v>8.8999999999999995E-5</v>
      </c>
      <c r="AQ123" s="6">
        <v>3.0000000000000001E-3</v>
      </c>
    </row>
    <row r="124" spans="1:43" x14ac:dyDescent="0.3">
      <c r="A124" t="s">
        <v>442</v>
      </c>
      <c r="B124" t="s">
        <v>442</v>
      </c>
      <c r="C124" t="s">
        <v>631</v>
      </c>
      <c r="D124" t="s">
        <v>632</v>
      </c>
      <c r="E124" t="s">
        <v>364</v>
      </c>
      <c r="I124">
        <v>0</v>
      </c>
      <c r="J124">
        <v>0</v>
      </c>
      <c r="K124">
        <v>0</v>
      </c>
      <c r="L124">
        <v>0</v>
      </c>
      <c r="M124">
        <v>0</v>
      </c>
      <c r="N124">
        <v>0</v>
      </c>
      <c r="O124">
        <v>0</v>
      </c>
      <c r="P124">
        <v>0.137651</v>
      </c>
      <c r="Q124">
        <v>0.13824900000000001</v>
      </c>
      <c r="R124">
        <v>0.139122</v>
      </c>
      <c r="S124">
        <v>0.13994000000000001</v>
      </c>
      <c r="T124">
        <v>0.140986</v>
      </c>
      <c r="U124">
        <v>0.142264</v>
      </c>
      <c r="V124">
        <v>0.14371400000000001</v>
      </c>
      <c r="W124">
        <v>0.14693500000000001</v>
      </c>
      <c r="X124">
        <v>0.154088</v>
      </c>
      <c r="Y124">
        <v>0.16075400000000001</v>
      </c>
      <c r="Z124">
        <v>0.16697999999999999</v>
      </c>
      <c r="AA124">
        <v>0.17277100000000001</v>
      </c>
      <c r="AB124">
        <v>0.17818400000000001</v>
      </c>
      <c r="AC124">
        <v>0.18349499999999999</v>
      </c>
      <c r="AD124">
        <v>0.18848699999999999</v>
      </c>
      <c r="AE124">
        <v>0.193304</v>
      </c>
      <c r="AF124">
        <v>0.197903</v>
      </c>
      <c r="AG124">
        <v>0.20217599999999999</v>
      </c>
      <c r="AH124">
        <v>0.206179</v>
      </c>
      <c r="AI124">
        <v>0.209814</v>
      </c>
      <c r="AJ124">
        <v>0.21318200000000001</v>
      </c>
      <c r="AK124">
        <v>0.21639700000000001</v>
      </c>
      <c r="AL124">
        <v>0.21926899999999999</v>
      </c>
      <c r="AM124">
        <v>0.22196099999999999</v>
      </c>
      <c r="AN124">
        <v>0.22459000000000001</v>
      </c>
      <c r="AO124">
        <v>0.227136</v>
      </c>
      <c r="AP124">
        <v>0.22938</v>
      </c>
      <c r="AQ124" t="s">
        <v>397</v>
      </c>
    </row>
    <row r="125" spans="1:43" x14ac:dyDescent="0.3">
      <c r="A125" t="s">
        <v>445</v>
      </c>
      <c r="B125" t="s">
        <v>445</v>
      </c>
      <c r="C125" t="s">
        <v>633</v>
      </c>
      <c r="D125" t="s">
        <v>634</v>
      </c>
      <c r="E125" t="s">
        <v>364</v>
      </c>
      <c r="I125">
        <v>0.283586</v>
      </c>
      <c r="J125">
        <v>0.29477799999999998</v>
      </c>
      <c r="K125">
        <v>0.29870200000000002</v>
      </c>
      <c r="L125">
        <v>0.28741899999999998</v>
      </c>
      <c r="M125">
        <v>0.28536099999999998</v>
      </c>
      <c r="N125">
        <v>0.30041600000000002</v>
      </c>
      <c r="O125">
        <v>0.26392500000000002</v>
      </c>
      <c r="AQ125" s="6">
        <v>0</v>
      </c>
    </row>
    <row r="126" spans="1:43" x14ac:dyDescent="0.3">
      <c r="A126" t="s">
        <v>502</v>
      </c>
      <c r="B126" t="s">
        <v>502</v>
      </c>
      <c r="C126" t="s">
        <v>635</v>
      </c>
      <c r="D126" t="s">
        <v>636</v>
      </c>
      <c r="E126" t="s">
        <v>364</v>
      </c>
      <c r="I126">
        <v>0</v>
      </c>
      <c r="J126">
        <v>0</v>
      </c>
      <c r="K126">
        <v>0</v>
      </c>
      <c r="L126">
        <v>0</v>
      </c>
      <c r="M126">
        <v>0</v>
      </c>
      <c r="N126">
        <v>0</v>
      </c>
      <c r="O126">
        <v>0</v>
      </c>
      <c r="P126">
        <v>7.2772000000000003E-2</v>
      </c>
      <c r="Q126">
        <v>7.0828000000000002E-2</v>
      </c>
      <c r="R126">
        <v>6.4266000000000004E-2</v>
      </c>
      <c r="S126">
        <v>6.4626000000000003E-2</v>
      </c>
      <c r="T126">
        <v>6.5000000000000002E-2</v>
      </c>
      <c r="U126">
        <v>6.5329999999999999E-2</v>
      </c>
      <c r="V126">
        <v>6.5628000000000006E-2</v>
      </c>
      <c r="W126">
        <v>6.5922999999999995E-2</v>
      </c>
      <c r="X126">
        <v>6.6207000000000002E-2</v>
      </c>
      <c r="Y126">
        <v>6.6504999999999995E-2</v>
      </c>
      <c r="Z126">
        <v>6.6832000000000003E-2</v>
      </c>
      <c r="AA126">
        <v>6.7224000000000006E-2</v>
      </c>
      <c r="AB126">
        <v>6.7645999999999998E-2</v>
      </c>
      <c r="AC126">
        <v>6.8098000000000006E-2</v>
      </c>
      <c r="AD126">
        <v>6.8581000000000003E-2</v>
      </c>
      <c r="AE126">
        <v>6.9070999999999994E-2</v>
      </c>
      <c r="AF126">
        <v>6.9571999999999995E-2</v>
      </c>
      <c r="AG126">
        <v>7.0073999999999997E-2</v>
      </c>
      <c r="AH126">
        <v>7.0560999999999999E-2</v>
      </c>
      <c r="AI126">
        <v>7.1041999999999994E-2</v>
      </c>
      <c r="AJ126">
        <v>7.1524000000000004E-2</v>
      </c>
      <c r="AK126">
        <v>7.2012000000000007E-2</v>
      </c>
      <c r="AL126">
        <v>7.2529999999999997E-2</v>
      </c>
      <c r="AM126">
        <v>7.3043999999999998E-2</v>
      </c>
      <c r="AN126">
        <v>7.3538999999999993E-2</v>
      </c>
      <c r="AO126">
        <v>7.4087E-2</v>
      </c>
      <c r="AP126">
        <v>7.4651999999999996E-2</v>
      </c>
      <c r="AQ126" t="s">
        <v>397</v>
      </c>
    </row>
    <row r="127" spans="1:43" x14ac:dyDescent="0.3">
      <c r="A127" t="s">
        <v>499</v>
      </c>
      <c r="B127" t="s">
        <v>499</v>
      </c>
      <c r="C127" t="s">
        <v>637</v>
      </c>
      <c r="D127" t="s">
        <v>638</v>
      </c>
      <c r="E127" t="s">
        <v>364</v>
      </c>
      <c r="I127">
        <v>4.1980999999999997E-2</v>
      </c>
      <c r="J127">
        <v>4.3070999999999998E-2</v>
      </c>
      <c r="K127">
        <v>4.4200999999999997E-2</v>
      </c>
      <c r="L127">
        <v>4.6810999999999998E-2</v>
      </c>
      <c r="M127">
        <v>4.5700999999999999E-2</v>
      </c>
      <c r="N127">
        <v>4.8576000000000001E-2</v>
      </c>
      <c r="O127">
        <v>4.9717999999999998E-2</v>
      </c>
      <c r="P127">
        <v>2.1995480000000001</v>
      </c>
      <c r="Q127">
        <v>2.1962830000000002</v>
      </c>
      <c r="R127">
        <v>2.1573410000000002</v>
      </c>
      <c r="S127">
        <v>2.1032820000000001</v>
      </c>
      <c r="T127">
        <v>2.0373459999999999</v>
      </c>
      <c r="U127">
        <v>1.9672190000000001</v>
      </c>
      <c r="V127">
        <v>1.8844000000000001</v>
      </c>
      <c r="W127">
        <v>1.807418</v>
      </c>
      <c r="X127">
        <v>1.72231</v>
      </c>
      <c r="Y127">
        <v>1.638231</v>
      </c>
      <c r="Z127">
        <v>1.5595239999999999</v>
      </c>
      <c r="AA127">
        <v>1.483481</v>
      </c>
      <c r="AB127">
        <v>1.407575</v>
      </c>
      <c r="AC127">
        <v>1.335426</v>
      </c>
      <c r="AD127">
        <v>1.271541</v>
      </c>
      <c r="AE127">
        <v>1.213109</v>
      </c>
      <c r="AF127">
        <v>1.162212</v>
      </c>
      <c r="AG127">
        <v>1.116663</v>
      </c>
      <c r="AH127">
        <v>1.0733330000000001</v>
      </c>
      <c r="AI127">
        <v>1.036767</v>
      </c>
      <c r="AJ127">
        <v>1.003093</v>
      </c>
      <c r="AK127">
        <v>0.97553599999999996</v>
      </c>
      <c r="AL127">
        <v>0.94977</v>
      </c>
      <c r="AM127">
        <v>0.92870200000000003</v>
      </c>
      <c r="AN127">
        <v>0.90447200000000005</v>
      </c>
      <c r="AO127">
        <v>0.88789399999999996</v>
      </c>
      <c r="AP127">
        <v>0.87564600000000004</v>
      </c>
      <c r="AQ127" s="6">
        <v>5.0000000000000001E-3</v>
      </c>
    </row>
    <row r="128" spans="1:43" x14ac:dyDescent="0.3">
      <c r="A128" t="s">
        <v>448</v>
      </c>
      <c r="B128" t="s">
        <v>448</v>
      </c>
      <c r="C128" t="s">
        <v>639</v>
      </c>
      <c r="D128" t="s">
        <v>640</v>
      </c>
      <c r="E128" t="s">
        <v>364</v>
      </c>
      <c r="I128">
        <v>3.1532650000000002</v>
      </c>
      <c r="J128">
        <v>3.290203</v>
      </c>
      <c r="K128">
        <v>3.2922129999999998</v>
      </c>
      <c r="L128">
        <v>3.1819489999999999</v>
      </c>
      <c r="M128">
        <v>3.2785069999999998</v>
      </c>
      <c r="N128">
        <v>3.2061440000000001</v>
      </c>
      <c r="O128">
        <v>3.183093</v>
      </c>
      <c r="P128">
        <v>2.0699999999999999E-4</v>
      </c>
      <c r="Q128">
        <v>1.93E-4</v>
      </c>
      <c r="R128">
        <v>1.8599999999999999E-4</v>
      </c>
      <c r="S128">
        <v>1.7899999999999999E-4</v>
      </c>
      <c r="T128">
        <v>1.6899999999999999E-4</v>
      </c>
      <c r="U128">
        <v>1.6100000000000001E-4</v>
      </c>
      <c r="V128">
        <v>1.4999999999999999E-4</v>
      </c>
      <c r="W128">
        <v>1.3999999999999999E-4</v>
      </c>
      <c r="X128">
        <v>1.2799999999999999E-4</v>
      </c>
      <c r="Y128">
        <v>1.16E-4</v>
      </c>
      <c r="Z128">
        <v>1.08E-4</v>
      </c>
      <c r="AA128">
        <v>1E-4</v>
      </c>
      <c r="AB128">
        <v>9.2E-5</v>
      </c>
      <c r="AC128">
        <v>8.6000000000000003E-5</v>
      </c>
      <c r="AD128">
        <v>8.0000000000000007E-5</v>
      </c>
      <c r="AE128">
        <v>7.4999999999999993E-5</v>
      </c>
      <c r="AF128">
        <v>7.2999999999999999E-5</v>
      </c>
      <c r="AG128">
        <v>6.9999999999999994E-5</v>
      </c>
      <c r="AH128">
        <v>6.7000000000000002E-5</v>
      </c>
      <c r="AI128">
        <v>6.6000000000000005E-5</v>
      </c>
      <c r="AJ128">
        <v>6.6000000000000005E-5</v>
      </c>
      <c r="AK128">
        <v>6.3E-5</v>
      </c>
      <c r="AL128">
        <v>6.2000000000000003E-5</v>
      </c>
      <c r="AM128">
        <v>6.3E-5</v>
      </c>
      <c r="AN128">
        <v>6.2000000000000003E-5</v>
      </c>
      <c r="AO128">
        <v>6.2000000000000003E-5</v>
      </c>
      <c r="AP128">
        <v>6.0999999999999999E-5</v>
      </c>
      <c r="AQ128" s="6">
        <v>3.0000000000000001E-3</v>
      </c>
    </row>
    <row r="129" spans="1:43" x14ac:dyDescent="0.3">
      <c r="A129" t="s">
        <v>451</v>
      </c>
      <c r="B129" t="s">
        <v>451</v>
      </c>
      <c r="C129" t="s">
        <v>641</v>
      </c>
      <c r="D129" t="s">
        <v>642</v>
      </c>
      <c r="E129" t="s">
        <v>364</v>
      </c>
      <c r="I129">
        <v>0</v>
      </c>
      <c r="J129">
        <v>0</v>
      </c>
      <c r="K129">
        <v>0</v>
      </c>
      <c r="L129">
        <v>0</v>
      </c>
      <c r="M129">
        <v>0</v>
      </c>
      <c r="N129">
        <v>0</v>
      </c>
      <c r="O129">
        <v>0</v>
      </c>
      <c r="P129">
        <v>0.88082199999999999</v>
      </c>
      <c r="Q129">
        <v>0.89403699999999997</v>
      </c>
      <c r="R129">
        <v>0.90151199999999998</v>
      </c>
      <c r="S129">
        <v>0.91066000000000003</v>
      </c>
      <c r="T129">
        <v>0.91764699999999999</v>
      </c>
      <c r="U129">
        <v>0.92646499999999998</v>
      </c>
      <c r="V129">
        <v>0.93406800000000001</v>
      </c>
      <c r="W129">
        <v>0.93935500000000005</v>
      </c>
      <c r="X129">
        <v>0.94581899999999997</v>
      </c>
      <c r="Y129">
        <v>0.95222700000000005</v>
      </c>
      <c r="Z129">
        <v>0.958646</v>
      </c>
      <c r="AA129">
        <v>0.96711000000000003</v>
      </c>
      <c r="AB129">
        <v>0.97569700000000004</v>
      </c>
      <c r="AC129">
        <v>0.985653</v>
      </c>
      <c r="AD129">
        <v>0.99597199999999997</v>
      </c>
      <c r="AE129">
        <v>1.006812</v>
      </c>
      <c r="AF129">
        <v>1.017798</v>
      </c>
      <c r="AG129">
        <v>1.027844</v>
      </c>
      <c r="AH129">
        <v>1.038862</v>
      </c>
      <c r="AI129">
        <v>1.0485880000000001</v>
      </c>
      <c r="AJ129">
        <v>1.0579050000000001</v>
      </c>
      <c r="AK129">
        <v>1.0676289999999999</v>
      </c>
      <c r="AL129">
        <v>1.0764579999999999</v>
      </c>
      <c r="AM129">
        <v>1.085507</v>
      </c>
      <c r="AN129">
        <v>1.095291</v>
      </c>
      <c r="AO129">
        <v>1.105661</v>
      </c>
      <c r="AP129">
        <v>1.117259</v>
      </c>
      <c r="AQ129" t="s">
        <v>397</v>
      </c>
    </row>
    <row r="130" spans="1:43" x14ac:dyDescent="0.3">
      <c r="A130" t="s">
        <v>558</v>
      </c>
      <c r="B130" t="s">
        <v>558</v>
      </c>
      <c r="C130" t="s">
        <v>643</v>
      </c>
      <c r="D130" t="s">
        <v>644</v>
      </c>
      <c r="E130" t="s">
        <v>364</v>
      </c>
      <c r="I130">
        <v>0.14021400000000001</v>
      </c>
      <c r="J130">
        <v>0.167684</v>
      </c>
      <c r="K130">
        <v>0.14306099999999999</v>
      </c>
      <c r="L130">
        <v>0.117439</v>
      </c>
      <c r="M130">
        <v>9.0961E-2</v>
      </c>
      <c r="N130">
        <v>8.1609000000000001E-2</v>
      </c>
      <c r="O130">
        <v>8.3052000000000001E-2</v>
      </c>
      <c r="P130">
        <v>1.2E-4</v>
      </c>
      <c r="Q130">
        <v>9.7999999999999997E-5</v>
      </c>
      <c r="R130">
        <v>2.34E-4</v>
      </c>
      <c r="S130">
        <v>2.31E-4</v>
      </c>
      <c r="T130">
        <v>2.22E-4</v>
      </c>
      <c r="U130">
        <v>1.9900000000000001E-4</v>
      </c>
      <c r="V130">
        <v>1.8000000000000001E-4</v>
      </c>
      <c r="W130">
        <v>1.75E-4</v>
      </c>
      <c r="X130">
        <v>1.7799999999999999E-4</v>
      </c>
      <c r="Y130">
        <v>1.7000000000000001E-4</v>
      </c>
      <c r="Z130">
        <v>1.66E-4</v>
      </c>
      <c r="AA130">
        <v>1.6100000000000001E-4</v>
      </c>
      <c r="AB130">
        <v>1.5699999999999999E-4</v>
      </c>
      <c r="AC130">
        <v>1.5100000000000001E-4</v>
      </c>
      <c r="AD130">
        <v>1.44E-4</v>
      </c>
      <c r="AE130">
        <v>1.4200000000000001E-4</v>
      </c>
      <c r="AF130">
        <v>1.35E-4</v>
      </c>
      <c r="AG130">
        <v>1.26E-4</v>
      </c>
      <c r="AH130">
        <v>1.22E-4</v>
      </c>
      <c r="AI130">
        <v>1.13E-4</v>
      </c>
      <c r="AJ130">
        <v>1.06E-4</v>
      </c>
      <c r="AK130">
        <v>1.0399999999999999E-4</v>
      </c>
      <c r="AL130">
        <v>9.7E-5</v>
      </c>
      <c r="AM130">
        <v>8.5000000000000006E-5</v>
      </c>
      <c r="AN130">
        <v>8.5000000000000006E-5</v>
      </c>
      <c r="AO130">
        <v>8.3999999999999995E-5</v>
      </c>
      <c r="AP130">
        <v>8.0000000000000007E-5</v>
      </c>
      <c r="AQ130" s="6">
        <v>-3.7999999999999999E-2</v>
      </c>
    </row>
    <row r="131" spans="1:43" x14ac:dyDescent="0.3">
      <c r="A131" t="s">
        <v>457</v>
      </c>
      <c r="B131" t="s">
        <v>457</v>
      </c>
      <c r="C131" t="s">
        <v>645</v>
      </c>
      <c r="D131" t="s">
        <v>646</v>
      </c>
      <c r="E131" t="s">
        <v>364</v>
      </c>
      <c r="I131">
        <v>0</v>
      </c>
      <c r="J131">
        <v>0</v>
      </c>
      <c r="K131">
        <v>0</v>
      </c>
      <c r="L131">
        <v>0</v>
      </c>
      <c r="M131">
        <v>0</v>
      </c>
      <c r="N131">
        <v>0</v>
      </c>
      <c r="O131">
        <v>0</v>
      </c>
      <c r="P131">
        <v>1.179808</v>
      </c>
      <c r="Q131">
        <v>1.2205550000000001</v>
      </c>
      <c r="R131">
        <v>1.2162189999999999</v>
      </c>
      <c r="S131">
        <v>1.2075849999999999</v>
      </c>
      <c r="T131">
        <v>1.2013469999999999</v>
      </c>
      <c r="U131">
        <v>1.1930529999999999</v>
      </c>
      <c r="V131">
        <v>1.182151</v>
      </c>
      <c r="W131">
        <v>1.166207</v>
      </c>
      <c r="X131">
        <v>1.145348</v>
      </c>
      <c r="Y131">
        <v>1.121861</v>
      </c>
      <c r="Z131">
        <v>1.102171</v>
      </c>
      <c r="AA131">
        <v>1.0838429999999999</v>
      </c>
      <c r="AB131">
        <v>1.0683609999999999</v>
      </c>
      <c r="AC131">
        <v>1.053634</v>
      </c>
      <c r="AD131">
        <v>1.041031</v>
      </c>
      <c r="AE131">
        <v>1.029579</v>
      </c>
      <c r="AF131">
        <v>1.0191380000000001</v>
      </c>
      <c r="AG131">
        <v>1.0082679999999999</v>
      </c>
      <c r="AH131">
        <v>0.99928399999999995</v>
      </c>
      <c r="AI131">
        <v>0.99066200000000004</v>
      </c>
      <c r="AJ131">
        <v>0.98319400000000001</v>
      </c>
      <c r="AK131">
        <v>0.97823499999999997</v>
      </c>
      <c r="AL131">
        <v>0.97560599999999997</v>
      </c>
      <c r="AM131">
        <v>0.97441599999999995</v>
      </c>
      <c r="AN131">
        <v>0.97385600000000005</v>
      </c>
      <c r="AO131">
        <v>0.97579300000000002</v>
      </c>
      <c r="AP131">
        <v>0.97756500000000002</v>
      </c>
      <c r="AQ131" t="s">
        <v>397</v>
      </c>
    </row>
    <row r="132" spans="1:43" x14ac:dyDescent="0.3">
      <c r="A132" t="s">
        <v>460</v>
      </c>
      <c r="B132" t="s">
        <v>460</v>
      </c>
      <c r="C132" t="s">
        <v>647</v>
      </c>
      <c r="D132" t="s">
        <v>648</v>
      </c>
      <c r="E132" t="s">
        <v>364</v>
      </c>
      <c r="I132">
        <v>0</v>
      </c>
      <c r="J132">
        <v>0</v>
      </c>
      <c r="K132">
        <v>0</v>
      </c>
      <c r="L132">
        <v>0</v>
      </c>
      <c r="M132">
        <v>0</v>
      </c>
      <c r="N132">
        <v>0</v>
      </c>
      <c r="O132">
        <v>0</v>
      </c>
      <c r="P132">
        <v>0.271038</v>
      </c>
      <c r="Q132">
        <v>0.25408500000000001</v>
      </c>
      <c r="R132">
        <v>0.25169999999999998</v>
      </c>
      <c r="S132">
        <v>0.25536300000000001</v>
      </c>
      <c r="T132">
        <v>0.25759700000000002</v>
      </c>
      <c r="U132">
        <v>0.26050200000000001</v>
      </c>
      <c r="V132">
        <v>0.26375599999999999</v>
      </c>
      <c r="W132">
        <v>0.266372</v>
      </c>
      <c r="X132">
        <v>0.26843299999999998</v>
      </c>
      <c r="Y132">
        <v>0.27023000000000003</v>
      </c>
      <c r="Z132">
        <v>0.27308900000000003</v>
      </c>
      <c r="AA132">
        <v>0.27559600000000001</v>
      </c>
      <c r="AB132">
        <v>0.27713199999999999</v>
      </c>
      <c r="AC132">
        <v>0.27896799999999999</v>
      </c>
      <c r="AD132">
        <v>0.28015299999999999</v>
      </c>
      <c r="AE132">
        <v>0.28176699999999999</v>
      </c>
      <c r="AF132">
        <v>0.28314800000000001</v>
      </c>
      <c r="AG132">
        <v>0.282051</v>
      </c>
      <c r="AH132">
        <v>0.28017999999999998</v>
      </c>
      <c r="AI132">
        <v>0.278835</v>
      </c>
      <c r="AJ132">
        <v>0.27733799999999997</v>
      </c>
      <c r="AK132">
        <v>0.27536500000000003</v>
      </c>
      <c r="AL132">
        <v>0.277138</v>
      </c>
      <c r="AM132">
        <v>0.278638</v>
      </c>
      <c r="AN132">
        <v>0.28063399999999999</v>
      </c>
      <c r="AO132">
        <v>0.282611</v>
      </c>
      <c r="AP132">
        <v>0.28426299999999999</v>
      </c>
      <c r="AQ132" t="s">
        <v>397</v>
      </c>
    </row>
    <row r="133" spans="1:43" x14ac:dyDescent="0.3">
      <c r="A133" t="s">
        <v>463</v>
      </c>
      <c r="B133" t="s">
        <v>463</v>
      </c>
      <c r="C133" t="s">
        <v>649</v>
      </c>
      <c r="D133" t="s">
        <v>650</v>
      </c>
      <c r="E133" t="s">
        <v>364</v>
      </c>
      <c r="I133">
        <v>0.14021400000000001</v>
      </c>
      <c r="J133">
        <v>0.167684</v>
      </c>
      <c r="K133">
        <v>0.14306099999999999</v>
      </c>
      <c r="L133">
        <v>0.117439</v>
      </c>
      <c r="M133">
        <v>9.0961E-2</v>
      </c>
      <c r="N133">
        <v>8.1609000000000001E-2</v>
      </c>
      <c r="O133">
        <v>8.3052000000000001E-2</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s="6">
        <v>-3.7999999999999999E-2</v>
      </c>
    </row>
    <row r="134" spans="1:43" x14ac:dyDescent="0.3">
      <c r="A134" t="s">
        <v>594</v>
      </c>
      <c r="B134" t="s">
        <v>594</v>
      </c>
      <c r="C134" t="s">
        <v>651</v>
      </c>
      <c r="D134" t="s">
        <v>652</v>
      </c>
      <c r="E134" t="s">
        <v>364</v>
      </c>
      <c r="I134">
        <v>0.28512100000000001</v>
      </c>
      <c r="J134">
        <v>0.28783300000000001</v>
      </c>
      <c r="K134">
        <v>0.28642200000000001</v>
      </c>
      <c r="L134">
        <v>0.27961599999999998</v>
      </c>
      <c r="M134">
        <v>0.280111</v>
      </c>
      <c r="N134">
        <v>0.27493800000000002</v>
      </c>
      <c r="O134">
        <v>0.27768199999999998</v>
      </c>
      <c r="P134">
        <v>0.462171</v>
      </c>
      <c r="Q134">
        <v>0.45956399999999997</v>
      </c>
      <c r="R134">
        <v>0.33243899999999998</v>
      </c>
      <c r="S134">
        <v>0.34308100000000002</v>
      </c>
      <c r="T134">
        <v>0.34873999999999999</v>
      </c>
      <c r="U134">
        <v>0.350352</v>
      </c>
      <c r="V134">
        <v>0.34958699999999998</v>
      </c>
      <c r="W134">
        <v>0.34746199999999999</v>
      </c>
      <c r="X134">
        <v>0.33962500000000001</v>
      </c>
      <c r="Y134">
        <v>0.33240399999999998</v>
      </c>
      <c r="Z134">
        <v>0.33554600000000001</v>
      </c>
      <c r="AA134">
        <v>0.334341</v>
      </c>
      <c r="AB134">
        <v>0.33380500000000002</v>
      </c>
      <c r="AC134">
        <v>0.32994800000000002</v>
      </c>
      <c r="AD134">
        <v>0.33332299999999998</v>
      </c>
      <c r="AE134">
        <v>0.33023000000000002</v>
      </c>
      <c r="AF134">
        <v>0.33350400000000002</v>
      </c>
      <c r="AG134">
        <v>0.33593600000000001</v>
      </c>
      <c r="AH134">
        <v>0.32472699999999999</v>
      </c>
      <c r="AI134">
        <v>0.32758500000000002</v>
      </c>
      <c r="AJ134">
        <v>0.32899499999999998</v>
      </c>
      <c r="AK134">
        <v>0.33078999999999997</v>
      </c>
      <c r="AL134">
        <v>0.331789</v>
      </c>
      <c r="AM134">
        <v>0.33127600000000001</v>
      </c>
      <c r="AN134">
        <v>0.333482</v>
      </c>
      <c r="AO134">
        <v>0.33155000000000001</v>
      </c>
      <c r="AP134">
        <v>0.32847999999999999</v>
      </c>
      <c r="AQ134" s="6">
        <v>-3.2000000000000001E-2</v>
      </c>
    </row>
    <row r="135" spans="1:43" x14ac:dyDescent="0.3">
      <c r="A135" t="s">
        <v>466</v>
      </c>
      <c r="B135" t="s">
        <v>466</v>
      </c>
      <c r="C135" t="s">
        <v>653</v>
      </c>
      <c r="D135" t="s">
        <v>654</v>
      </c>
      <c r="E135" t="s">
        <v>364</v>
      </c>
      <c r="I135">
        <v>0.111349</v>
      </c>
      <c r="J135">
        <v>0.11107400000000001</v>
      </c>
      <c r="K135">
        <v>0.128689</v>
      </c>
      <c r="L135">
        <v>0.12955700000000001</v>
      </c>
      <c r="M135">
        <v>0.13327900000000001</v>
      </c>
      <c r="N135">
        <v>0.123927</v>
      </c>
      <c r="O135">
        <v>0.12903500000000001</v>
      </c>
      <c r="P135">
        <v>5.0662789999999998</v>
      </c>
      <c r="Q135">
        <v>5.0954480000000002</v>
      </c>
      <c r="R135">
        <v>4.9237099999999998</v>
      </c>
      <c r="S135">
        <v>4.8848269999999996</v>
      </c>
      <c r="T135">
        <v>4.8278990000000004</v>
      </c>
      <c r="U135">
        <v>4.7631199999999998</v>
      </c>
      <c r="V135">
        <v>4.6797700000000004</v>
      </c>
      <c r="W135">
        <v>4.5929120000000001</v>
      </c>
      <c r="X135">
        <v>4.487921</v>
      </c>
      <c r="Y135">
        <v>4.3816269999999999</v>
      </c>
      <c r="Z135">
        <v>4.2959740000000002</v>
      </c>
      <c r="AA135">
        <v>4.2117570000000004</v>
      </c>
      <c r="AB135">
        <v>4.1303720000000004</v>
      </c>
      <c r="AC135">
        <v>4.0518780000000003</v>
      </c>
      <c r="AD135">
        <v>3.990745</v>
      </c>
      <c r="AE135">
        <v>3.9307089999999998</v>
      </c>
      <c r="AF135">
        <v>3.885507</v>
      </c>
      <c r="AG135">
        <v>3.8409620000000002</v>
      </c>
      <c r="AH135">
        <v>3.7870699999999999</v>
      </c>
      <c r="AI135">
        <v>3.7535919999999998</v>
      </c>
      <c r="AJ135">
        <v>3.7221549999999999</v>
      </c>
      <c r="AK135">
        <v>3.6996720000000001</v>
      </c>
      <c r="AL135">
        <v>3.6833879999999999</v>
      </c>
      <c r="AM135">
        <v>3.6716669999999998</v>
      </c>
      <c r="AN135">
        <v>3.6613600000000002</v>
      </c>
      <c r="AO135">
        <v>3.6576810000000002</v>
      </c>
      <c r="AP135">
        <v>3.6579449999999998</v>
      </c>
      <c r="AQ135" s="6">
        <v>-5.0000000000000001E-3</v>
      </c>
    </row>
    <row r="136" spans="1:43" x14ac:dyDescent="0.3">
      <c r="A136" t="s">
        <v>373</v>
      </c>
      <c r="B136" t="s">
        <v>373</v>
      </c>
      <c r="C136" t="s">
        <v>655</v>
      </c>
      <c r="D136" t="s">
        <v>656</v>
      </c>
      <c r="E136" t="s">
        <v>364</v>
      </c>
      <c r="I136">
        <v>2.4880620000000002</v>
      </c>
      <c r="J136">
        <v>2.4706769999999998</v>
      </c>
      <c r="K136">
        <v>2.3776670000000002</v>
      </c>
      <c r="L136">
        <v>2.3084750000000001</v>
      </c>
      <c r="M136">
        <v>2.2102010000000001</v>
      </c>
      <c r="N136">
        <v>2.3666719999999999</v>
      </c>
      <c r="O136">
        <v>2.4710399999999999</v>
      </c>
      <c r="P136">
        <v>2.9825300000000001</v>
      </c>
      <c r="Q136">
        <v>2.807245</v>
      </c>
      <c r="R136">
        <v>2.6944490000000001</v>
      </c>
      <c r="S136">
        <v>2.667008</v>
      </c>
      <c r="T136">
        <v>2.730486</v>
      </c>
      <c r="U136">
        <v>2.7892459999999999</v>
      </c>
      <c r="V136">
        <v>2.8749310000000001</v>
      </c>
      <c r="W136">
        <v>2.9355150000000001</v>
      </c>
      <c r="X136">
        <v>2.9989620000000001</v>
      </c>
      <c r="Y136">
        <v>2.933176</v>
      </c>
      <c r="Z136">
        <v>2.9457200000000001</v>
      </c>
      <c r="AA136">
        <v>2.9381729999999999</v>
      </c>
      <c r="AB136">
        <v>2.8956019999999998</v>
      </c>
      <c r="AC136">
        <v>2.8440300000000001</v>
      </c>
      <c r="AD136">
        <v>2.813577</v>
      </c>
      <c r="AE136">
        <v>2.7828170000000001</v>
      </c>
      <c r="AF136">
        <v>2.7808220000000001</v>
      </c>
      <c r="AG136">
        <v>2.793409</v>
      </c>
      <c r="AH136">
        <v>2.7480039999999999</v>
      </c>
      <c r="AI136">
        <v>2.7930679999999999</v>
      </c>
      <c r="AJ136">
        <v>2.783741</v>
      </c>
      <c r="AK136">
        <v>2.7729240000000002</v>
      </c>
      <c r="AL136">
        <v>2.733654</v>
      </c>
      <c r="AM136">
        <v>2.7707670000000002</v>
      </c>
      <c r="AN136">
        <v>2.78206</v>
      </c>
      <c r="AO136">
        <v>2.7926790000000001</v>
      </c>
      <c r="AP136">
        <v>2.8017069999999999</v>
      </c>
      <c r="AQ136" s="6">
        <v>0.01</v>
      </c>
    </row>
    <row r="137" spans="1:43" x14ac:dyDescent="0.3">
      <c r="A137" t="s">
        <v>506</v>
      </c>
      <c r="B137" t="s">
        <v>506</v>
      </c>
      <c r="C137" t="s">
        <v>657</v>
      </c>
      <c r="D137" t="s">
        <v>658</v>
      </c>
      <c r="E137" t="s">
        <v>364</v>
      </c>
      <c r="I137">
        <v>9.2999999999999997E-5</v>
      </c>
      <c r="J137">
        <v>1.92E-4</v>
      </c>
      <c r="K137">
        <v>9.8999999999999994E-5</v>
      </c>
      <c r="L137">
        <v>2.2100000000000001E-4</v>
      </c>
      <c r="M137">
        <v>3.3199999999999999E-4</v>
      </c>
      <c r="N137">
        <v>4.4000000000000002E-4</v>
      </c>
      <c r="O137">
        <v>5.3399999999999997E-4</v>
      </c>
      <c r="P137">
        <v>0.279783</v>
      </c>
      <c r="Q137">
        <v>0.25668200000000002</v>
      </c>
      <c r="R137">
        <v>0.26378299999999999</v>
      </c>
      <c r="S137">
        <v>0.26644600000000002</v>
      </c>
      <c r="T137">
        <v>0.27815499999999999</v>
      </c>
      <c r="U137">
        <v>0.27727499999999999</v>
      </c>
      <c r="V137">
        <v>0.27540599999999998</v>
      </c>
      <c r="W137">
        <v>0.27752399999999999</v>
      </c>
      <c r="X137">
        <v>0.280636</v>
      </c>
      <c r="Y137">
        <v>0.28720499999999999</v>
      </c>
      <c r="Z137">
        <v>0.28256799999999999</v>
      </c>
      <c r="AA137">
        <v>0.27904600000000002</v>
      </c>
      <c r="AB137">
        <v>0.27388000000000001</v>
      </c>
      <c r="AC137">
        <v>0.27036100000000002</v>
      </c>
      <c r="AD137">
        <v>0.265621</v>
      </c>
      <c r="AE137">
        <v>0.26136199999999998</v>
      </c>
      <c r="AF137">
        <v>0.25750000000000001</v>
      </c>
      <c r="AG137">
        <v>0.25278699999999998</v>
      </c>
      <c r="AH137">
        <v>0.25036799999999998</v>
      </c>
      <c r="AI137">
        <v>0.24881300000000001</v>
      </c>
      <c r="AJ137">
        <v>0.24675800000000001</v>
      </c>
      <c r="AK137">
        <v>0.24518100000000001</v>
      </c>
      <c r="AL137">
        <v>0.243421</v>
      </c>
      <c r="AM137">
        <v>0.241595</v>
      </c>
      <c r="AN137">
        <v>0.23966000000000001</v>
      </c>
      <c r="AO137">
        <v>0.23769499999999999</v>
      </c>
      <c r="AP137">
        <v>0.23255999999999999</v>
      </c>
      <c r="AQ137" s="6">
        <v>0.11</v>
      </c>
    </row>
    <row r="138" spans="1:43" x14ac:dyDescent="0.3">
      <c r="A138" t="s">
        <v>599</v>
      </c>
      <c r="B138" t="s">
        <v>599</v>
      </c>
      <c r="C138" t="s">
        <v>659</v>
      </c>
      <c r="D138" t="s">
        <v>660</v>
      </c>
      <c r="E138" t="s">
        <v>364</v>
      </c>
      <c r="I138">
        <v>5.5599999999999998E-3</v>
      </c>
      <c r="J138">
        <v>5.5599999999999998E-3</v>
      </c>
      <c r="K138">
        <v>5.2700000000000004E-3</v>
      </c>
      <c r="L138">
        <v>5.5420000000000001E-3</v>
      </c>
      <c r="M138">
        <v>5.6769999999999998E-3</v>
      </c>
      <c r="N138">
        <v>5.8609999999999999E-3</v>
      </c>
      <c r="O138">
        <v>5.8609999999999999E-3</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s="6">
        <v>0</v>
      </c>
    </row>
    <row r="139" spans="1:43" x14ac:dyDescent="0.3">
      <c r="A139" t="s">
        <v>602</v>
      </c>
      <c r="B139" t="s">
        <v>602</v>
      </c>
      <c r="C139" t="s">
        <v>661</v>
      </c>
      <c r="D139" t="s">
        <v>662</v>
      </c>
      <c r="E139" t="s">
        <v>364</v>
      </c>
      <c r="I139">
        <v>1.5768999999999998E-2</v>
      </c>
      <c r="J139">
        <v>1.5095000000000001E-2</v>
      </c>
      <c r="K139">
        <v>1.2452E-2</v>
      </c>
      <c r="L139">
        <v>3.336E-3</v>
      </c>
      <c r="M139">
        <v>3.6347999999999998E-2</v>
      </c>
      <c r="N139">
        <v>2.8097E-2</v>
      </c>
      <c r="O139">
        <v>3.3648999999999998E-2</v>
      </c>
      <c r="P139">
        <v>4.7454999999999997E-2</v>
      </c>
      <c r="Q139">
        <v>4.4574999999999997E-2</v>
      </c>
      <c r="R139">
        <v>4.2626999999999998E-2</v>
      </c>
      <c r="S139">
        <v>4.2537999999999999E-2</v>
      </c>
      <c r="T139">
        <v>4.2146000000000003E-2</v>
      </c>
      <c r="U139">
        <v>4.1956E-2</v>
      </c>
      <c r="V139">
        <v>4.1846000000000001E-2</v>
      </c>
      <c r="W139">
        <v>4.2014000000000003E-2</v>
      </c>
      <c r="X139">
        <v>4.2009999999999999E-2</v>
      </c>
      <c r="Y139">
        <v>4.1488999999999998E-2</v>
      </c>
      <c r="Z139">
        <v>4.1181000000000002E-2</v>
      </c>
      <c r="AA139">
        <v>4.1062000000000001E-2</v>
      </c>
      <c r="AB139">
        <v>4.0770000000000001E-2</v>
      </c>
      <c r="AC139">
        <v>4.0618000000000001E-2</v>
      </c>
      <c r="AD139">
        <v>4.0670999999999999E-2</v>
      </c>
      <c r="AE139">
        <v>4.0618000000000001E-2</v>
      </c>
      <c r="AF139">
        <v>4.0455999999999999E-2</v>
      </c>
      <c r="AG139">
        <v>4.0468999999999998E-2</v>
      </c>
      <c r="AH139">
        <v>4.0381E-2</v>
      </c>
      <c r="AI139">
        <v>4.0307000000000003E-2</v>
      </c>
      <c r="AJ139">
        <v>4.0300999999999997E-2</v>
      </c>
      <c r="AK139">
        <v>4.0305000000000001E-2</v>
      </c>
      <c r="AL139">
        <v>4.0231999999999997E-2</v>
      </c>
      <c r="AM139">
        <v>4.0286000000000002E-2</v>
      </c>
      <c r="AN139">
        <v>4.0437000000000001E-2</v>
      </c>
      <c r="AO139">
        <v>4.0704999999999998E-2</v>
      </c>
      <c r="AP139">
        <v>4.0939999999999997E-2</v>
      </c>
      <c r="AQ139" s="6">
        <v>2E-3</v>
      </c>
    </row>
    <row r="140" spans="1:43" x14ac:dyDescent="0.3">
      <c r="A140" t="s">
        <v>169</v>
      </c>
      <c r="B140" t="s">
        <v>169</v>
      </c>
      <c r="C140" t="s">
        <v>663</v>
      </c>
      <c r="D140" t="s">
        <v>664</v>
      </c>
      <c r="E140" t="s">
        <v>364</v>
      </c>
      <c r="I140">
        <v>11.602622999999999</v>
      </c>
      <c r="J140">
        <v>11.782988</v>
      </c>
      <c r="K140">
        <v>11.647322000000001</v>
      </c>
      <c r="L140">
        <v>10.51674</v>
      </c>
      <c r="M140">
        <v>10.864329</v>
      </c>
      <c r="N140">
        <v>10.866248000000001</v>
      </c>
      <c r="O140">
        <v>10.981170000000001</v>
      </c>
      <c r="P140">
        <v>3.309768</v>
      </c>
      <c r="Q140">
        <v>3.108501</v>
      </c>
      <c r="R140">
        <v>3.0008590000000002</v>
      </c>
      <c r="S140">
        <v>2.9759929999999999</v>
      </c>
      <c r="T140">
        <v>3.050786</v>
      </c>
      <c r="U140">
        <v>3.1084770000000002</v>
      </c>
      <c r="V140">
        <v>3.192183</v>
      </c>
      <c r="W140">
        <v>3.2550530000000002</v>
      </c>
      <c r="X140">
        <v>3.3216070000000002</v>
      </c>
      <c r="Y140">
        <v>3.26187</v>
      </c>
      <c r="Z140">
        <v>3.269469</v>
      </c>
      <c r="AA140">
        <v>3.2582819999999999</v>
      </c>
      <c r="AB140">
        <v>3.210251</v>
      </c>
      <c r="AC140">
        <v>3.1550090000000002</v>
      </c>
      <c r="AD140">
        <v>3.119869</v>
      </c>
      <c r="AE140">
        <v>3.0847980000000002</v>
      </c>
      <c r="AF140">
        <v>3.0787779999999998</v>
      </c>
      <c r="AG140">
        <v>3.086665</v>
      </c>
      <c r="AH140">
        <v>3.038754</v>
      </c>
      <c r="AI140">
        <v>3.0821890000000001</v>
      </c>
      <c r="AJ140">
        <v>3.0708000000000002</v>
      </c>
      <c r="AK140">
        <v>3.0584099999999999</v>
      </c>
      <c r="AL140">
        <v>3.0173070000000002</v>
      </c>
      <c r="AM140">
        <v>3.052648</v>
      </c>
      <c r="AN140">
        <v>3.062157</v>
      </c>
      <c r="AO140">
        <v>3.0710790000000001</v>
      </c>
      <c r="AP140">
        <v>3.0752069999999998</v>
      </c>
      <c r="AQ140" s="6">
        <v>1E-3</v>
      </c>
    </row>
    <row r="141" spans="1:43" x14ac:dyDescent="0.3">
      <c r="A141" t="s">
        <v>665</v>
      </c>
      <c r="B141" t="s">
        <v>665</v>
      </c>
      <c r="D141" t="s">
        <v>666</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row>
    <row r="142" spans="1:43" x14ac:dyDescent="0.3">
      <c r="A142" t="s">
        <v>667</v>
      </c>
      <c r="B142" t="s">
        <v>667</v>
      </c>
      <c r="C142" t="s">
        <v>668</v>
      </c>
      <c r="D142" t="s">
        <v>669</v>
      </c>
      <c r="E142" t="s">
        <v>364</v>
      </c>
      <c r="I142">
        <v>9.4579419999999992</v>
      </c>
      <c r="J142">
        <v>9.6013710000000003</v>
      </c>
      <c r="K142">
        <v>9.6055220000000006</v>
      </c>
      <c r="L142">
        <v>8.5675439999999998</v>
      </c>
      <c r="M142">
        <v>8.9983979999999999</v>
      </c>
      <c r="N142">
        <v>8.9423259999999996</v>
      </c>
      <c r="O142">
        <v>9.0022040000000008</v>
      </c>
      <c r="P142">
        <v>5.6340000000000001E-2</v>
      </c>
      <c r="Q142">
        <v>5.9422000000000003E-2</v>
      </c>
      <c r="R142">
        <v>3.7723E-2</v>
      </c>
      <c r="S142">
        <v>3.8601000000000003E-2</v>
      </c>
      <c r="T142">
        <v>3.9373999999999999E-2</v>
      </c>
      <c r="U142">
        <v>3.9752999999999997E-2</v>
      </c>
      <c r="V142">
        <v>4.0057000000000002E-2</v>
      </c>
      <c r="W142">
        <v>4.0291E-2</v>
      </c>
      <c r="X142">
        <v>4.0715000000000001E-2</v>
      </c>
      <c r="Y142">
        <v>4.0905999999999998E-2</v>
      </c>
      <c r="Z142">
        <v>4.0961999999999998E-2</v>
      </c>
      <c r="AA142">
        <v>4.0953000000000003E-2</v>
      </c>
      <c r="AB142">
        <v>4.0702000000000002E-2</v>
      </c>
      <c r="AC142">
        <v>4.0363999999999997E-2</v>
      </c>
      <c r="AD142">
        <v>4.0230000000000002E-2</v>
      </c>
      <c r="AE142">
        <v>4.0092000000000003E-2</v>
      </c>
      <c r="AF142">
        <v>4.0002999999999997E-2</v>
      </c>
      <c r="AG142">
        <v>3.9913999999999998E-2</v>
      </c>
      <c r="AH142">
        <v>3.9815000000000003E-2</v>
      </c>
      <c r="AI142">
        <v>3.9653000000000001E-2</v>
      </c>
      <c r="AJ142">
        <v>3.9495000000000002E-2</v>
      </c>
      <c r="AK142">
        <v>3.9373999999999999E-2</v>
      </c>
      <c r="AL142">
        <v>3.9239999999999997E-2</v>
      </c>
      <c r="AM142">
        <v>3.9153E-2</v>
      </c>
      <c r="AN142">
        <v>3.9101999999999998E-2</v>
      </c>
      <c r="AO142">
        <v>3.9066999999999998E-2</v>
      </c>
      <c r="AP142">
        <v>3.8941000000000003E-2</v>
      </c>
      <c r="AQ142" s="6">
        <v>1E-3</v>
      </c>
    </row>
    <row r="143" spans="1:43" x14ac:dyDescent="0.3">
      <c r="A143" t="s">
        <v>670</v>
      </c>
      <c r="B143" t="s">
        <v>670</v>
      </c>
      <c r="C143" t="s">
        <v>671</v>
      </c>
      <c r="D143" t="s">
        <v>672</v>
      </c>
      <c r="E143" t="s">
        <v>364</v>
      </c>
      <c r="I143">
        <v>11.602622999999999</v>
      </c>
      <c r="J143">
        <v>11.782988</v>
      </c>
      <c r="K143">
        <v>11.647322000000001</v>
      </c>
      <c r="L143">
        <v>10.51674</v>
      </c>
      <c r="M143">
        <v>10.864329</v>
      </c>
      <c r="N143">
        <v>10.866248000000001</v>
      </c>
      <c r="O143">
        <v>10.981170000000001</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s="6">
        <v>1E-3</v>
      </c>
    </row>
    <row r="144" spans="1:43" x14ac:dyDescent="0.3">
      <c r="A144" t="s">
        <v>673</v>
      </c>
      <c r="B144" t="s">
        <v>674</v>
      </c>
      <c r="C144" t="s">
        <v>675</v>
      </c>
      <c r="D144" t="s">
        <v>676</v>
      </c>
      <c r="E144" t="s">
        <v>364</v>
      </c>
      <c r="I144">
        <v>0.17319100000000001</v>
      </c>
      <c r="J144">
        <v>0.18026500000000001</v>
      </c>
      <c r="K144">
        <v>0.176757</v>
      </c>
      <c r="L144">
        <v>0.15634000000000001</v>
      </c>
      <c r="M144">
        <v>0.16456599999999999</v>
      </c>
      <c r="N144">
        <v>0.153201</v>
      </c>
      <c r="O144">
        <v>0.15414700000000001</v>
      </c>
      <c r="P144">
        <v>5.6340000000000001E-2</v>
      </c>
      <c r="Q144">
        <v>5.9422000000000003E-2</v>
      </c>
      <c r="R144">
        <v>3.7723E-2</v>
      </c>
      <c r="S144">
        <v>3.8601000000000003E-2</v>
      </c>
      <c r="T144">
        <v>3.9373999999999999E-2</v>
      </c>
      <c r="U144">
        <v>3.9752999999999997E-2</v>
      </c>
      <c r="V144">
        <v>4.0057000000000002E-2</v>
      </c>
      <c r="W144">
        <v>4.0291E-2</v>
      </c>
      <c r="X144">
        <v>4.0715000000000001E-2</v>
      </c>
      <c r="Y144">
        <v>4.0905999999999998E-2</v>
      </c>
      <c r="Z144">
        <v>4.0961999999999998E-2</v>
      </c>
      <c r="AA144">
        <v>4.0953000000000003E-2</v>
      </c>
      <c r="AB144">
        <v>4.0702000000000002E-2</v>
      </c>
      <c r="AC144">
        <v>4.0363999999999997E-2</v>
      </c>
      <c r="AD144">
        <v>4.0230000000000002E-2</v>
      </c>
      <c r="AE144">
        <v>4.0092000000000003E-2</v>
      </c>
      <c r="AF144">
        <v>4.0002999999999997E-2</v>
      </c>
      <c r="AG144">
        <v>3.9913999999999998E-2</v>
      </c>
      <c r="AH144">
        <v>3.9815000000000003E-2</v>
      </c>
      <c r="AI144">
        <v>3.9653000000000001E-2</v>
      </c>
      <c r="AJ144">
        <v>3.9495000000000002E-2</v>
      </c>
      <c r="AK144">
        <v>3.9373999999999999E-2</v>
      </c>
      <c r="AL144">
        <v>3.9239999999999997E-2</v>
      </c>
      <c r="AM144">
        <v>3.9153E-2</v>
      </c>
      <c r="AN144">
        <v>3.9101999999999998E-2</v>
      </c>
      <c r="AO144">
        <v>3.9066999999999998E-2</v>
      </c>
      <c r="AP144">
        <v>3.8941000000000003E-2</v>
      </c>
      <c r="AQ144" s="6">
        <v>-1.2E-2</v>
      </c>
    </row>
    <row r="145" spans="1:43" x14ac:dyDescent="0.3">
      <c r="A145" t="s">
        <v>677</v>
      </c>
      <c r="B145" t="s">
        <v>677</v>
      </c>
      <c r="C145" t="s">
        <v>678</v>
      </c>
      <c r="D145" t="s">
        <v>679</v>
      </c>
      <c r="E145" t="s">
        <v>680</v>
      </c>
      <c r="I145">
        <v>53.473274000000004</v>
      </c>
      <c r="J145">
        <v>53.976073999999997</v>
      </c>
      <c r="K145">
        <v>54.506439</v>
      </c>
      <c r="L145">
        <v>54.504367999999999</v>
      </c>
      <c r="M145">
        <v>54.851779999999998</v>
      </c>
      <c r="N145">
        <v>55.109805999999999</v>
      </c>
      <c r="O145">
        <v>55.405033000000003</v>
      </c>
      <c r="P145">
        <v>0.23599600000000001</v>
      </c>
      <c r="Q145">
        <v>0.25807600000000003</v>
      </c>
      <c r="R145">
        <v>0.27632699999999999</v>
      </c>
      <c r="S145">
        <v>0.27569700000000003</v>
      </c>
      <c r="T145">
        <v>0.27569700000000003</v>
      </c>
      <c r="U145">
        <v>0.27569700000000003</v>
      </c>
      <c r="V145">
        <v>0.182418</v>
      </c>
      <c r="W145">
        <v>9.5607999999999999E-2</v>
      </c>
      <c r="X145">
        <v>9.5607999999999999E-2</v>
      </c>
      <c r="Y145">
        <v>9.5607999999999999E-2</v>
      </c>
      <c r="Z145">
        <v>9.5607999999999999E-2</v>
      </c>
      <c r="AA145">
        <v>9.5607999999999999E-2</v>
      </c>
      <c r="AB145">
        <v>9.1403999999999999E-2</v>
      </c>
      <c r="AC145">
        <v>8.6813000000000001E-2</v>
      </c>
      <c r="AD145">
        <v>8.5556999999999994E-2</v>
      </c>
      <c r="AE145">
        <v>8.4278000000000006E-2</v>
      </c>
      <c r="AF145">
        <v>8.3867999999999998E-2</v>
      </c>
      <c r="AG145">
        <v>8.4047999999999998E-2</v>
      </c>
      <c r="AH145">
        <v>8.4352999999999997E-2</v>
      </c>
      <c r="AI145">
        <v>8.4324999999999997E-2</v>
      </c>
      <c r="AJ145">
        <v>8.4164000000000003E-2</v>
      </c>
      <c r="AK145">
        <v>8.4148000000000001E-2</v>
      </c>
      <c r="AL145">
        <v>8.0325999999999995E-2</v>
      </c>
      <c r="AM145">
        <v>8.3284999999999998E-2</v>
      </c>
      <c r="AN145">
        <v>8.3113000000000006E-2</v>
      </c>
      <c r="AO145">
        <v>8.3443000000000003E-2</v>
      </c>
      <c r="AP145">
        <v>8.3485000000000004E-2</v>
      </c>
      <c r="AQ145" s="6">
        <v>6.0000000000000001E-3</v>
      </c>
    </row>
    <row r="146" spans="1:43" x14ac:dyDescent="0.3">
      <c r="A146" t="s">
        <v>681</v>
      </c>
      <c r="B146" t="s">
        <v>682</v>
      </c>
      <c r="C146" t="s">
        <v>683</v>
      </c>
      <c r="D146" t="s">
        <v>684</v>
      </c>
      <c r="E146" t="s">
        <v>685</v>
      </c>
      <c r="I146">
        <v>17096.179688</v>
      </c>
      <c r="J146">
        <v>17581.587890999999</v>
      </c>
      <c r="K146">
        <v>19061.34375</v>
      </c>
      <c r="L146">
        <v>18171.386718999998</v>
      </c>
      <c r="M146">
        <v>19438.871093999998</v>
      </c>
      <c r="N146">
        <v>19750.261718999998</v>
      </c>
      <c r="O146">
        <v>19903.289062</v>
      </c>
      <c r="P146">
        <v>0.115357</v>
      </c>
      <c r="Q146">
        <v>0.11726399999999999</v>
      </c>
      <c r="R146">
        <v>0.11483</v>
      </c>
      <c r="S146">
        <v>0.112502</v>
      </c>
      <c r="T146">
        <v>0.110099</v>
      </c>
      <c r="U146">
        <v>0.107422</v>
      </c>
      <c r="V146">
        <v>0.10457900000000001</v>
      </c>
      <c r="W146">
        <v>0.101281</v>
      </c>
      <c r="X146">
        <v>9.8132999999999998E-2</v>
      </c>
      <c r="Y146">
        <v>9.4334000000000001E-2</v>
      </c>
      <c r="Z146">
        <v>9.0697E-2</v>
      </c>
      <c r="AA146">
        <v>8.7219000000000005E-2</v>
      </c>
      <c r="AB146">
        <v>8.4293000000000007E-2</v>
      </c>
      <c r="AC146">
        <v>8.0770999999999996E-2</v>
      </c>
      <c r="AD146">
        <v>7.7691999999999997E-2</v>
      </c>
      <c r="AE146">
        <v>7.5419E-2</v>
      </c>
      <c r="AF146">
        <v>7.3752999999999999E-2</v>
      </c>
      <c r="AG146">
        <v>7.1625999999999995E-2</v>
      </c>
      <c r="AH146">
        <v>6.9622000000000003E-2</v>
      </c>
      <c r="AI146">
        <v>6.7972000000000005E-2</v>
      </c>
      <c r="AJ146">
        <v>6.7317000000000002E-2</v>
      </c>
      <c r="AK146">
        <v>6.6215999999999997E-2</v>
      </c>
      <c r="AL146">
        <v>6.5210000000000004E-2</v>
      </c>
      <c r="AM146">
        <v>6.4465999999999996E-2</v>
      </c>
      <c r="AN146">
        <v>6.3492000000000007E-2</v>
      </c>
      <c r="AO146">
        <v>6.3009999999999997E-2</v>
      </c>
      <c r="AP146">
        <v>6.3676999999999997E-2</v>
      </c>
      <c r="AQ146" s="6">
        <v>1.9E-2</v>
      </c>
    </row>
    <row r="147" spans="1:43" x14ac:dyDescent="0.3">
      <c r="A147" t="s">
        <v>686</v>
      </c>
      <c r="B147" t="s">
        <v>686</v>
      </c>
      <c r="D147" t="s">
        <v>687</v>
      </c>
      <c r="P147">
        <v>0.99434800000000001</v>
      </c>
      <c r="Q147">
        <v>1.066594</v>
      </c>
      <c r="R147">
        <v>1.1449849999999999</v>
      </c>
      <c r="S147">
        <v>1.1844669999999999</v>
      </c>
      <c r="T147">
        <v>1.1915519999999999</v>
      </c>
      <c r="U147">
        <v>1.198172</v>
      </c>
      <c r="V147">
        <v>1.2102250000000001</v>
      </c>
      <c r="W147">
        <v>1.219231</v>
      </c>
      <c r="X147">
        <v>1.239638</v>
      </c>
      <c r="Y147">
        <v>1.3054380000000001</v>
      </c>
      <c r="Z147">
        <v>1.366303</v>
      </c>
      <c r="AA147">
        <v>1.444874</v>
      </c>
      <c r="AB147">
        <v>1.5257700000000001</v>
      </c>
      <c r="AC147">
        <v>1.628701</v>
      </c>
      <c r="AD147">
        <v>1.726871</v>
      </c>
      <c r="AE147">
        <v>1.80697</v>
      </c>
      <c r="AF147">
        <v>1.8629560000000001</v>
      </c>
      <c r="AG147">
        <v>1.9168480000000001</v>
      </c>
      <c r="AH147">
        <v>1.9644269999999999</v>
      </c>
      <c r="AI147">
        <v>2.0069330000000001</v>
      </c>
      <c r="AJ147">
        <v>2.0413649999999999</v>
      </c>
      <c r="AK147">
        <v>2.0941619999999999</v>
      </c>
      <c r="AL147">
        <v>2.1537410000000001</v>
      </c>
      <c r="AM147">
        <v>2.191233</v>
      </c>
      <c r="AN147">
        <v>2.2153360000000002</v>
      </c>
      <c r="AO147">
        <v>2.250915</v>
      </c>
      <c r="AP147">
        <v>2.2858749999999999</v>
      </c>
    </row>
    <row r="148" spans="1:43" x14ac:dyDescent="0.3">
      <c r="A148" t="s">
        <v>688</v>
      </c>
      <c r="B148" t="s">
        <v>688</v>
      </c>
      <c r="C148" t="s">
        <v>689</v>
      </c>
      <c r="D148" t="s">
        <v>690</v>
      </c>
      <c r="E148" t="s">
        <v>691</v>
      </c>
      <c r="I148">
        <v>548.44409199999996</v>
      </c>
      <c r="J148">
        <v>558.13116500000001</v>
      </c>
      <c r="K148">
        <v>552.03271500000005</v>
      </c>
      <c r="L148">
        <v>468.78430200000003</v>
      </c>
      <c r="M148">
        <v>486.764771</v>
      </c>
      <c r="N148">
        <v>489.35961900000001</v>
      </c>
      <c r="O148">
        <v>481.50314300000002</v>
      </c>
      <c r="P148">
        <v>4.5389999999999996E-3</v>
      </c>
      <c r="Q148">
        <v>4.5389999999999996E-3</v>
      </c>
      <c r="R148">
        <v>4.5389999999999996E-3</v>
      </c>
      <c r="S148">
        <v>4.5389999999999996E-3</v>
      </c>
      <c r="T148">
        <v>4.5389999999999996E-3</v>
      </c>
      <c r="U148">
        <v>4.5389999999999996E-3</v>
      </c>
      <c r="V148">
        <v>4.5389999999999996E-3</v>
      </c>
      <c r="W148">
        <v>4.5389999999999996E-3</v>
      </c>
      <c r="X148">
        <v>4.5389999999999996E-3</v>
      </c>
      <c r="Y148">
        <v>4.5389999999999996E-3</v>
      </c>
      <c r="Z148">
        <v>4.5389999999999996E-3</v>
      </c>
      <c r="AA148">
        <v>4.5389999999999996E-3</v>
      </c>
      <c r="AB148">
        <v>4.5389999999999996E-3</v>
      </c>
      <c r="AC148">
        <v>4.5389999999999996E-3</v>
      </c>
      <c r="AD148">
        <v>4.5389999999999996E-3</v>
      </c>
      <c r="AE148">
        <v>4.5389999999999996E-3</v>
      </c>
      <c r="AF148">
        <v>4.5389999999999996E-3</v>
      </c>
      <c r="AG148">
        <v>4.5389999999999996E-3</v>
      </c>
      <c r="AH148">
        <v>4.5389999999999996E-3</v>
      </c>
      <c r="AI148">
        <v>4.5389999999999996E-3</v>
      </c>
      <c r="AJ148">
        <v>4.5389999999999996E-3</v>
      </c>
      <c r="AK148">
        <v>4.5389999999999996E-3</v>
      </c>
      <c r="AL148">
        <v>4.5389999999999996E-3</v>
      </c>
      <c r="AM148">
        <v>4.5389999999999996E-3</v>
      </c>
      <c r="AN148">
        <v>4.5389999999999996E-3</v>
      </c>
      <c r="AO148">
        <v>4.5389999999999996E-3</v>
      </c>
      <c r="AP148">
        <v>4.5389999999999996E-3</v>
      </c>
      <c r="AQ148" s="6">
        <v>-3.0000000000000001E-3</v>
      </c>
    </row>
    <row r="149" spans="1:43" x14ac:dyDescent="0.3">
      <c r="P149">
        <v>-2.6360999999999999E-2</v>
      </c>
      <c r="Q149">
        <v>-3.1102999999999999E-2</v>
      </c>
      <c r="R149">
        <v>-3.7421999999999997E-2</v>
      </c>
      <c r="S149">
        <v>-5.3339999999999999E-2</v>
      </c>
      <c r="T149">
        <v>-6.3506999999999994E-2</v>
      </c>
      <c r="U149">
        <v>-6.8859000000000004E-2</v>
      </c>
      <c r="V149">
        <v>-7.5355000000000005E-2</v>
      </c>
      <c r="W149">
        <v>-7.7077999999999994E-2</v>
      </c>
      <c r="X149">
        <v>-7.8435000000000005E-2</v>
      </c>
      <c r="Y149">
        <v>-7.9828999999999997E-2</v>
      </c>
      <c r="Z149">
        <v>-7.9308000000000003E-2</v>
      </c>
      <c r="AA149">
        <v>-8.0442E-2</v>
      </c>
      <c r="AB149">
        <v>-7.7952999999999995E-2</v>
      </c>
      <c r="AC149">
        <v>-7.5734999999999997E-2</v>
      </c>
      <c r="AD149">
        <v>-7.5343999999999994E-2</v>
      </c>
      <c r="AE149">
        <v>-7.3976E-2</v>
      </c>
      <c r="AF149">
        <v>-7.5354000000000004E-2</v>
      </c>
      <c r="AG149">
        <v>-7.8237000000000001E-2</v>
      </c>
      <c r="AH149">
        <v>-7.5213000000000002E-2</v>
      </c>
      <c r="AI149">
        <v>-6.8529999999999994E-2</v>
      </c>
      <c r="AJ149">
        <v>-6.8264000000000005E-2</v>
      </c>
      <c r="AK149">
        <v>-6.7780000000000007E-2</v>
      </c>
      <c r="AL149">
        <v>-6.1823999999999997E-2</v>
      </c>
      <c r="AM149">
        <v>-6.0079E-2</v>
      </c>
      <c r="AN149">
        <v>-5.7418999999999998E-2</v>
      </c>
      <c r="AO149">
        <v>-5.5803999999999999E-2</v>
      </c>
      <c r="AP149">
        <v>-5.3175E-2</v>
      </c>
    </row>
    <row r="150" spans="1:43" x14ac:dyDescent="0.3">
      <c r="P150">
        <v>2.2398000000000001E-2</v>
      </c>
      <c r="Q150">
        <v>2.2398000000000001E-2</v>
      </c>
      <c r="R150">
        <v>2.2398000000000001E-2</v>
      </c>
      <c r="S150">
        <v>2.2398000000000001E-2</v>
      </c>
      <c r="T150">
        <v>2.2398000000000001E-2</v>
      </c>
      <c r="U150">
        <v>2.2398000000000001E-2</v>
      </c>
      <c r="V150">
        <v>2.2398000000000001E-2</v>
      </c>
      <c r="W150">
        <v>2.2398000000000001E-2</v>
      </c>
      <c r="X150">
        <v>2.2398000000000001E-2</v>
      </c>
      <c r="Y150">
        <v>2.2398000000000001E-2</v>
      </c>
      <c r="Z150">
        <v>2.2398000000000001E-2</v>
      </c>
      <c r="AA150">
        <v>2.2398000000000001E-2</v>
      </c>
      <c r="AB150">
        <v>2.2398000000000001E-2</v>
      </c>
      <c r="AC150">
        <v>2.2398000000000001E-2</v>
      </c>
      <c r="AD150">
        <v>2.2398000000000001E-2</v>
      </c>
      <c r="AE150">
        <v>2.2398000000000001E-2</v>
      </c>
      <c r="AF150">
        <v>2.2398000000000001E-2</v>
      </c>
      <c r="AG150">
        <v>2.2398000000000001E-2</v>
      </c>
      <c r="AH150">
        <v>2.2398000000000001E-2</v>
      </c>
      <c r="AI150">
        <v>2.2398000000000001E-2</v>
      </c>
      <c r="AJ150">
        <v>2.2398000000000001E-2</v>
      </c>
      <c r="AK150">
        <v>2.2398000000000001E-2</v>
      </c>
      <c r="AL150">
        <v>2.2398000000000001E-2</v>
      </c>
      <c r="AM150">
        <v>2.2398000000000001E-2</v>
      </c>
      <c r="AN150">
        <v>2.2398000000000001E-2</v>
      </c>
      <c r="AO150">
        <v>2.2398000000000001E-2</v>
      </c>
      <c r="AP150">
        <v>2.2398000000000001E-2</v>
      </c>
    </row>
    <row r="151" spans="1:43" x14ac:dyDescent="0.3">
      <c r="P151">
        <v>9.7786650000000002</v>
      </c>
      <c r="Q151">
        <v>9.7011389999999995</v>
      </c>
      <c r="R151">
        <v>9.4879479999999994</v>
      </c>
      <c r="S151">
        <v>9.4456830000000007</v>
      </c>
      <c r="T151">
        <v>9.4588350000000005</v>
      </c>
      <c r="U151">
        <v>9.4507180000000002</v>
      </c>
      <c r="V151">
        <v>9.3608139999999995</v>
      </c>
      <c r="W151">
        <v>9.2542349999999995</v>
      </c>
      <c r="X151">
        <v>9.2321229999999996</v>
      </c>
      <c r="Y151">
        <v>9.1268910000000005</v>
      </c>
      <c r="Z151">
        <v>9.1066420000000008</v>
      </c>
      <c r="AA151">
        <v>9.0851869999999995</v>
      </c>
      <c r="AB151">
        <v>9.0317760000000007</v>
      </c>
      <c r="AC151">
        <v>8.9947370000000006</v>
      </c>
      <c r="AD151">
        <v>8.9925569999999997</v>
      </c>
      <c r="AE151">
        <v>8.9752259999999993</v>
      </c>
      <c r="AF151">
        <v>8.9764479999999995</v>
      </c>
      <c r="AG151">
        <v>8.9887619999999995</v>
      </c>
      <c r="AH151">
        <v>8.9357620000000004</v>
      </c>
      <c r="AI151">
        <v>8.9930699999999995</v>
      </c>
      <c r="AJ151">
        <v>8.9839690000000001</v>
      </c>
      <c r="AK151">
        <v>9.0011390000000002</v>
      </c>
      <c r="AL151">
        <v>9.0043249999999997</v>
      </c>
      <c r="AM151">
        <v>9.0693099999999998</v>
      </c>
      <c r="AN151">
        <v>9.0940770000000004</v>
      </c>
      <c r="AO151">
        <v>9.1363269999999996</v>
      </c>
      <c r="AP151">
        <v>9.1788919999999994</v>
      </c>
    </row>
    <row r="153" spans="1:43" x14ac:dyDescent="0.3">
      <c r="P153">
        <v>9.070214</v>
      </c>
      <c r="Q153">
        <v>9.0619770000000006</v>
      </c>
      <c r="R153">
        <v>8.8919920000000001</v>
      </c>
      <c r="S153">
        <v>8.8905519999999996</v>
      </c>
      <c r="T153">
        <v>8.877027</v>
      </c>
      <c r="U153">
        <v>8.8493119999999994</v>
      </c>
      <c r="V153">
        <v>8.808548</v>
      </c>
      <c r="W153">
        <v>8.7564010000000003</v>
      </c>
      <c r="X153">
        <v>8.7002509999999997</v>
      </c>
      <c r="Y153">
        <v>8.6408760000000004</v>
      </c>
      <c r="Z153">
        <v>8.5911849999999994</v>
      </c>
      <c r="AA153">
        <v>8.5581790000000009</v>
      </c>
      <c r="AB153">
        <v>8.5225500000000007</v>
      </c>
      <c r="AC153">
        <v>8.4954269999999994</v>
      </c>
      <c r="AD153">
        <v>8.4846660000000007</v>
      </c>
      <c r="AE153">
        <v>8.4825040000000005</v>
      </c>
      <c r="AF153">
        <v>8.4891679999999994</v>
      </c>
      <c r="AG153">
        <v>8.4875319999999999</v>
      </c>
      <c r="AH153">
        <v>8.4805700000000002</v>
      </c>
      <c r="AI153">
        <v>8.4909569999999999</v>
      </c>
      <c r="AJ153">
        <v>8.5052339999999997</v>
      </c>
      <c r="AK153">
        <v>8.5277840000000005</v>
      </c>
      <c r="AL153">
        <v>8.546894</v>
      </c>
      <c r="AM153">
        <v>8.5824990000000003</v>
      </c>
      <c r="AN153">
        <v>8.6181940000000008</v>
      </c>
      <c r="AO153">
        <v>8.6669289999999997</v>
      </c>
      <c r="AP153">
        <v>8.7143650000000008</v>
      </c>
    </row>
    <row r="154" spans="1:43" x14ac:dyDescent="0.3">
      <c r="P154">
        <v>9.7786650000000002</v>
      </c>
      <c r="Q154">
        <v>9.7011389999999995</v>
      </c>
      <c r="R154">
        <v>9.4879479999999994</v>
      </c>
      <c r="S154">
        <v>9.4456830000000007</v>
      </c>
      <c r="T154">
        <v>9.4588350000000005</v>
      </c>
      <c r="U154">
        <v>9.4507180000000002</v>
      </c>
      <c r="V154">
        <v>9.3608139999999995</v>
      </c>
      <c r="W154">
        <v>9.2542349999999995</v>
      </c>
      <c r="X154">
        <v>9.2321229999999996</v>
      </c>
      <c r="Y154">
        <v>9.1268910000000005</v>
      </c>
      <c r="Z154">
        <v>9.1066420000000008</v>
      </c>
      <c r="AA154">
        <v>9.0851869999999995</v>
      </c>
      <c r="AB154">
        <v>9.0317760000000007</v>
      </c>
      <c r="AC154">
        <v>8.9947370000000006</v>
      </c>
      <c r="AD154">
        <v>8.9925569999999997</v>
      </c>
      <c r="AE154">
        <v>8.9752259999999993</v>
      </c>
      <c r="AF154">
        <v>8.9764479999999995</v>
      </c>
      <c r="AG154">
        <v>8.9887619999999995</v>
      </c>
      <c r="AH154">
        <v>8.9357620000000004</v>
      </c>
      <c r="AI154">
        <v>8.9930699999999995</v>
      </c>
      <c r="AJ154">
        <v>8.9839690000000001</v>
      </c>
      <c r="AK154">
        <v>9.0011390000000002</v>
      </c>
      <c r="AL154">
        <v>9.0043249999999997</v>
      </c>
      <c r="AM154">
        <v>9.0693099999999998</v>
      </c>
      <c r="AN154">
        <v>9.0940770000000004</v>
      </c>
      <c r="AO154">
        <v>9.1363269999999996</v>
      </c>
      <c r="AP154">
        <v>9.1788919999999994</v>
      </c>
    </row>
    <row r="155" spans="1:43" x14ac:dyDescent="0.3">
      <c r="P155">
        <v>0.155167</v>
      </c>
      <c r="Q155">
        <v>0.15493899999999999</v>
      </c>
      <c r="R155">
        <v>0.152199</v>
      </c>
      <c r="S155">
        <v>0.148394</v>
      </c>
      <c r="T155">
        <v>0.14374999999999999</v>
      </c>
      <c r="U155">
        <v>0.13880899999999999</v>
      </c>
      <c r="V155">
        <v>0.13297200000000001</v>
      </c>
      <c r="W155">
        <v>0.12754599999999999</v>
      </c>
      <c r="X155">
        <v>0.121545</v>
      </c>
      <c r="Y155">
        <v>0.115616</v>
      </c>
      <c r="Z155">
        <v>0.110067</v>
      </c>
      <c r="AA155">
        <v>0.10470599999999999</v>
      </c>
      <c r="AB155">
        <v>9.9351999999999996E-2</v>
      </c>
      <c r="AC155">
        <v>9.4264000000000001E-2</v>
      </c>
      <c r="AD155">
        <v>8.9759000000000005E-2</v>
      </c>
      <c r="AE155">
        <v>8.5638000000000006E-2</v>
      </c>
      <c r="AF155">
        <v>8.2049999999999998E-2</v>
      </c>
      <c r="AG155">
        <v>7.8838000000000005E-2</v>
      </c>
      <c r="AH155">
        <v>7.5783000000000003E-2</v>
      </c>
      <c r="AI155">
        <v>7.3205000000000006E-2</v>
      </c>
      <c r="AJ155">
        <v>7.0832000000000006E-2</v>
      </c>
      <c r="AK155">
        <v>6.8889000000000006E-2</v>
      </c>
      <c r="AL155">
        <v>6.7072999999999994E-2</v>
      </c>
      <c r="AM155">
        <v>6.5589999999999996E-2</v>
      </c>
      <c r="AN155">
        <v>6.3881999999999994E-2</v>
      </c>
      <c r="AO155">
        <v>6.2715000000000007E-2</v>
      </c>
      <c r="AP155">
        <v>6.1852999999999998E-2</v>
      </c>
    </row>
    <row r="156" spans="1:43" x14ac:dyDescent="0.3">
      <c r="P156">
        <v>56.716839</v>
      </c>
      <c r="Q156">
        <v>57.249302</v>
      </c>
      <c r="R156">
        <v>57.656784000000002</v>
      </c>
      <c r="S156">
        <v>57.956257000000001</v>
      </c>
      <c r="T156">
        <v>58.248565999999997</v>
      </c>
      <c r="U156">
        <v>58.534233</v>
      </c>
      <c r="V156">
        <v>58.812461999999996</v>
      </c>
      <c r="W156">
        <v>59.081974000000002</v>
      </c>
      <c r="X156">
        <v>59.342936999999999</v>
      </c>
      <c r="Y156">
        <v>59.594608000000001</v>
      </c>
      <c r="Z156">
        <v>59.835526000000002</v>
      </c>
      <c r="AA156">
        <v>60.062538000000004</v>
      </c>
      <c r="AB156">
        <v>60.278599</v>
      </c>
      <c r="AC156">
        <v>60.486755000000002</v>
      </c>
      <c r="AD156">
        <v>60.687508000000001</v>
      </c>
      <c r="AE156">
        <v>60.881003999999997</v>
      </c>
      <c r="AF156">
        <v>61.068474000000002</v>
      </c>
      <c r="AG156">
        <v>61.249744</v>
      </c>
      <c r="AH156">
        <v>61.424563999999997</v>
      </c>
      <c r="AI156">
        <v>61.593685000000001</v>
      </c>
      <c r="AJ156">
        <v>61.757731999999997</v>
      </c>
      <c r="AK156">
        <v>61.917000000000002</v>
      </c>
      <c r="AL156">
        <v>62.068725999999998</v>
      </c>
      <c r="AM156">
        <v>62.208809000000002</v>
      </c>
      <c r="AN156">
        <v>62.338397999999998</v>
      </c>
      <c r="AO156">
        <v>62.465702</v>
      </c>
      <c r="AP156">
        <v>62.595936000000002</v>
      </c>
    </row>
    <row r="157" spans="1:43" x14ac:dyDescent="0.3">
      <c r="P157">
        <v>21699.671875</v>
      </c>
      <c r="Q157">
        <v>22170.908202999999</v>
      </c>
      <c r="R157">
        <v>22685.740234000001</v>
      </c>
      <c r="S157">
        <v>23161.296875</v>
      </c>
      <c r="T157">
        <v>23587.921875</v>
      </c>
      <c r="U157">
        <v>24043.402343999998</v>
      </c>
      <c r="V157">
        <v>24481.429688</v>
      </c>
      <c r="W157">
        <v>24878.095702999999</v>
      </c>
      <c r="X157">
        <v>25301.460938</v>
      </c>
      <c r="Y157">
        <v>25738.427734000001</v>
      </c>
      <c r="Z157">
        <v>26176.421875</v>
      </c>
      <c r="AA157">
        <v>26631.546875</v>
      </c>
      <c r="AB157">
        <v>27081.457031000002</v>
      </c>
      <c r="AC157">
        <v>27549.578125</v>
      </c>
      <c r="AD157">
        <v>28032.492188</v>
      </c>
      <c r="AE157">
        <v>28523.587890999999</v>
      </c>
      <c r="AF157">
        <v>29017.400390999999</v>
      </c>
      <c r="AG157">
        <v>29502.431640999999</v>
      </c>
      <c r="AH157">
        <v>30008.207031000002</v>
      </c>
      <c r="AI157">
        <v>30497.724609000001</v>
      </c>
      <c r="AJ157">
        <v>30987.912109000001</v>
      </c>
      <c r="AK157">
        <v>31485.482422000001</v>
      </c>
      <c r="AL157">
        <v>31976.341797000001</v>
      </c>
      <c r="AM157">
        <v>32477.964843999998</v>
      </c>
      <c r="AN157">
        <v>33011.84375</v>
      </c>
      <c r="AO157">
        <v>33577.164062000003</v>
      </c>
      <c r="AP157">
        <v>34170.667969000002</v>
      </c>
    </row>
    <row r="159" spans="1:43" x14ac:dyDescent="0.3">
      <c r="P159">
        <v>518.51904300000001</v>
      </c>
      <c r="Q159">
        <v>510.06655899999998</v>
      </c>
      <c r="R159">
        <v>490.17581200000001</v>
      </c>
      <c r="S159">
        <v>486.51104700000002</v>
      </c>
      <c r="T159">
        <v>488.35314899999997</v>
      </c>
      <c r="U159">
        <v>486.88714599999997</v>
      </c>
      <c r="V159">
        <v>485.21664399999997</v>
      </c>
      <c r="W159">
        <v>482.33075000000002</v>
      </c>
      <c r="X159">
        <v>477.71404999999999</v>
      </c>
      <c r="Y159">
        <v>466.698914</v>
      </c>
      <c r="Z159">
        <v>460.45895400000001</v>
      </c>
      <c r="AA159">
        <v>453.24606299999999</v>
      </c>
      <c r="AB159">
        <v>444.55187999999998</v>
      </c>
      <c r="AC159">
        <v>435.76126099999999</v>
      </c>
      <c r="AD159">
        <v>429.36404399999998</v>
      </c>
      <c r="AE159">
        <v>422.656158</v>
      </c>
      <c r="AF159">
        <v>419.209137</v>
      </c>
      <c r="AG159">
        <v>416.29040500000002</v>
      </c>
      <c r="AH159">
        <v>409.82919299999998</v>
      </c>
      <c r="AI159">
        <v>409.85549900000001</v>
      </c>
      <c r="AJ159">
        <v>407.40933200000001</v>
      </c>
      <c r="AK159">
        <v>405.68670700000001</v>
      </c>
      <c r="AL159">
        <v>403.03973400000001</v>
      </c>
      <c r="AM159">
        <v>404.78103599999997</v>
      </c>
      <c r="AN159">
        <v>404.72088600000001</v>
      </c>
      <c r="AO159">
        <v>405.17205799999999</v>
      </c>
      <c r="AP159">
        <v>405.44699100000003</v>
      </c>
    </row>
  </sheetData>
  <hyperlinks>
    <hyperlink ref="B2" r:id="rId1" location="/?id=2-AEO2020&amp;region=1-9&amp;cases=ref2020&amp;start=2018&amp;end=2050&amp;f=A&amp;linechart=ref2020-d112119a.3-2-AEO2020.1-9&amp;map=ref2020-d112119a.5-2-AEO2020.1-9&amp;sourcekey=0" xr:uid="{00000000-0004-0000-06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48"/>
  <sheetViews>
    <sheetView zoomScale="75" zoomScaleNormal="75" workbookViewId="0">
      <selection activeCell="Q1" sqref="Q1:Q1048576"/>
    </sheetView>
  </sheetViews>
  <sheetFormatPr defaultRowHeight="14.4" x14ac:dyDescent="0.3"/>
  <cols>
    <col min="1" max="1" width="38.33203125" customWidth="1"/>
    <col min="2" max="2" width="43.33203125" customWidth="1"/>
    <col min="3" max="3" width="94.88671875" bestFit="1" customWidth="1"/>
  </cols>
  <sheetData>
    <row r="1" spans="1:42" x14ac:dyDescent="0.3">
      <c r="A1" t="s">
        <v>692</v>
      </c>
      <c r="B1" t="s">
        <v>692</v>
      </c>
    </row>
    <row r="2" spans="1:42" x14ac:dyDescent="0.3">
      <c r="A2" t="s">
        <v>693</v>
      </c>
      <c r="B2" s="47" t="s">
        <v>694</v>
      </c>
    </row>
    <row r="3" spans="1:42" x14ac:dyDescent="0.3">
      <c r="A3" t="s">
        <v>695</v>
      </c>
      <c r="B3" t="s">
        <v>696</v>
      </c>
    </row>
    <row r="4" spans="1:42" x14ac:dyDescent="0.3">
      <c r="A4" t="s">
        <v>355</v>
      </c>
      <c r="B4" t="s">
        <v>355</v>
      </c>
    </row>
    <row r="5" spans="1:42" x14ac:dyDescent="0.3">
      <c r="C5" t="s">
        <v>356</v>
      </c>
      <c r="D5" t="s">
        <v>357</v>
      </c>
      <c r="E5" t="s">
        <v>358</v>
      </c>
      <c r="F5">
        <v>2014</v>
      </c>
      <c r="G5">
        <v>2015</v>
      </c>
      <c r="H5">
        <v>2016</v>
      </c>
      <c r="I5">
        <v>2017</v>
      </c>
      <c r="J5">
        <v>2018</v>
      </c>
      <c r="K5">
        <v>2019</v>
      </c>
      <c r="L5">
        <v>2020</v>
      </c>
      <c r="M5">
        <v>2021</v>
      </c>
      <c r="N5">
        <v>2022</v>
      </c>
      <c r="O5">
        <v>2023</v>
      </c>
      <c r="P5">
        <v>2024</v>
      </c>
      <c r="Q5">
        <v>2025</v>
      </c>
      <c r="R5">
        <v>2026</v>
      </c>
      <c r="S5">
        <v>2027</v>
      </c>
      <c r="T5">
        <v>2028</v>
      </c>
      <c r="U5">
        <v>2029</v>
      </c>
      <c r="V5">
        <v>2030</v>
      </c>
      <c r="W5">
        <v>2031</v>
      </c>
      <c r="X5">
        <v>2032</v>
      </c>
      <c r="Y5">
        <v>2033</v>
      </c>
      <c r="Z5">
        <v>2034</v>
      </c>
      <c r="AA5">
        <v>2035</v>
      </c>
      <c r="AB5">
        <v>2036</v>
      </c>
      <c r="AC5">
        <v>2037</v>
      </c>
      <c r="AD5">
        <v>2038</v>
      </c>
      <c r="AE5">
        <v>2039</v>
      </c>
      <c r="AF5">
        <v>2040</v>
      </c>
      <c r="AG5">
        <v>2041</v>
      </c>
      <c r="AH5">
        <v>2042</v>
      </c>
      <c r="AI5">
        <v>2043</v>
      </c>
      <c r="AJ5">
        <v>2044</v>
      </c>
      <c r="AK5">
        <v>2045</v>
      </c>
      <c r="AL5">
        <v>2046</v>
      </c>
      <c r="AM5">
        <v>2047</v>
      </c>
      <c r="AN5">
        <v>2048</v>
      </c>
      <c r="AO5">
        <v>2049</v>
      </c>
      <c r="AP5">
        <v>2050</v>
      </c>
    </row>
    <row r="6" spans="1:42" x14ac:dyDescent="0.3">
      <c r="A6" t="s">
        <v>697</v>
      </c>
      <c r="B6" t="s">
        <v>698</v>
      </c>
    </row>
    <row r="7" spans="1:42" x14ac:dyDescent="0.3">
      <c r="B7" t="s">
        <v>699</v>
      </c>
      <c r="D7" t="s">
        <v>700</v>
      </c>
    </row>
    <row r="8" spans="1:42" x14ac:dyDescent="0.3">
      <c r="A8" t="s">
        <v>701</v>
      </c>
      <c r="B8" t="s">
        <v>701</v>
      </c>
      <c r="C8" t="s">
        <v>702</v>
      </c>
      <c r="D8" t="s">
        <v>703</v>
      </c>
      <c r="E8" t="s">
        <v>364</v>
      </c>
      <c r="I8">
        <v>0.36779099999999998</v>
      </c>
      <c r="J8">
        <v>0.43935099999999999</v>
      </c>
      <c r="K8">
        <v>0.52879799999999999</v>
      </c>
      <c r="L8">
        <v>0.45751199999999997</v>
      </c>
      <c r="M8">
        <v>0.46377800000000002</v>
      </c>
      <c r="N8">
        <v>0.53893199999999997</v>
      </c>
      <c r="O8">
        <v>0.57440999999999998</v>
      </c>
      <c r="P8">
        <v>0.51306799999999997</v>
      </c>
      <c r="Q8">
        <v>0.48986400000000002</v>
      </c>
      <c r="R8">
        <v>0.47216399999999997</v>
      </c>
      <c r="S8">
        <v>0.45763999999999999</v>
      </c>
      <c r="T8">
        <v>0.44519999999999998</v>
      </c>
      <c r="U8">
        <v>0.435137</v>
      </c>
      <c r="V8">
        <v>0.42601699999999998</v>
      </c>
      <c r="W8">
        <v>0.41791</v>
      </c>
      <c r="X8">
        <v>0.409804</v>
      </c>
      <c r="Y8">
        <v>0.40263100000000002</v>
      </c>
      <c r="Z8">
        <v>0.39503899999999997</v>
      </c>
      <c r="AA8">
        <v>0.38751400000000003</v>
      </c>
      <c r="AB8">
        <v>0.37993500000000002</v>
      </c>
      <c r="AC8">
        <v>0.37285699999999999</v>
      </c>
      <c r="AD8">
        <v>0.36608299999999999</v>
      </c>
      <c r="AE8">
        <v>0.35957499999999998</v>
      </c>
      <c r="AF8">
        <v>0.35324100000000003</v>
      </c>
      <c r="AG8">
        <v>0.34762199999999999</v>
      </c>
      <c r="AH8">
        <v>0.34207100000000001</v>
      </c>
      <c r="AI8">
        <v>0.33705400000000002</v>
      </c>
      <c r="AJ8">
        <v>0.332011</v>
      </c>
      <c r="AK8">
        <v>0.327538</v>
      </c>
      <c r="AL8">
        <v>0.32387199999999999</v>
      </c>
      <c r="AM8">
        <v>0.32008300000000001</v>
      </c>
      <c r="AN8">
        <v>0.31608900000000001</v>
      </c>
      <c r="AO8">
        <v>0.31211100000000003</v>
      </c>
      <c r="AP8">
        <v>0.30802400000000002</v>
      </c>
    </row>
    <row r="9" spans="1:42" x14ac:dyDescent="0.3">
      <c r="A9" t="s">
        <v>704</v>
      </c>
      <c r="B9" t="s">
        <v>704</v>
      </c>
      <c r="C9" t="s">
        <v>705</v>
      </c>
      <c r="D9" t="s">
        <v>706</v>
      </c>
      <c r="E9" t="s">
        <v>364</v>
      </c>
      <c r="I9">
        <v>0.141097</v>
      </c>
      <c r="J9">
        <v>0.141097</v>
      </c>
      <c r="K9">
        <v>0.13072</v>
      </c>
      <c r="L9">
        <v>0.131216</v>
      </c>
      <c r="M9">
        <v>0.124386</v>
      </c>
      <c r="N9">
        <v>0.120805</v>
      </c>
      <c r="O9">
        <v>0.120805</v>
      </c>
      <c r="P9">
        <v>0.120805</v>
      </c>
      <c r="Q9">
        <v>0.120805</v>
      </c>
      <c r="R9">
        <v>0.120805</v>
      </c>
      <c r="S9">
        <v>0.120805</v>
      </c>
      <c r="T9">
        <v>0.120805</v>
      </c>
      <c r="U9">
        <v>0.120805</v>
      </c>
      <c r="V9">
        <v>0.120805</v>
      </c>
      <c r="W9">
        <v>0.120805</v>
      </c>
      <c r="X9">
        <v>0.120805</v>
      </c>
      <c r="Y9">
        <v>0.120805</v>
      </c>
      <c r="Z9">
        <v>0.120805</v>
      </c>
      <c r="AA9">
        <v>0.120805</v>
      </c>
      <c r="AB9">
        <v>0.120805</v>
      </c>
      <c r="AC9">
        <v>0.120805</v>
      </c>
      <c r="AD9">
        <v>0.120805</v>
      </c>
      <c r="AE9">
        <v>0.120805</v>
      </c>
      <c r="AF9">
        <v>0.120805</v>
      </c>
      <c r="AG9">
        <v>0.120805</v>
      </c>
      <c r="AH9">
        <v>0.120805</v>
      </c>
      <c r="AI9">
        <v>0.120805</v>
      </c>
      <c r="AJ9">
        <v>0.120805</v>
      </c>
      <c r="AK9">
        <v>0.120805</v>
      </c>
      <c r="AL9">
        <v>0.120805</v>
      </c>
      <c r="AM9">
        <v>0.120805</v>
      </c>
      <c r="AN9">
        <v>0.120805</v>
      </c>
      <c r="AO9">
        <v>0.120805</v>
      </c>
      <c r="AP9">
        <v>0.120805</v>
      </c>
    </row>
    <row r="10" spans="1:42" x14ac:dyDescent="0.3">
      <c r="A10" t="s">
        <v>420</v>
      </c>
      <c r="B10" t="s">
        <v>420</v>
      </c>
      <c r="C10" t="s">
        <v>707</v>
      </c>
      <c r="D10" t="s">
        <v>708</v>
      </c>
      <c r="E10" t="s">
        <v>364</v>
      </c>
      <c r="I10">
        <v>2.4297200000000001</v>
      </c>
      <c r="J10">
        <v>2.4196249999999999</v>
      </c>
      <c r="K10">
        <v>2.5275859999999999</v>
      </c>
      <c r="L10">
        <v>2.4349829999999999</v>
      </c>
      <c r="M10">
        <v>2.4966439999999999</v>
      </c>
      <c r="N10">
        <v>2.4188489999999998</v>
      </c>
      <c r="O10">
        <v>2.5582929999999999</v>
      </c>
      <c r="P10">
        <v>2.454399</v>
      </c>
      <c r="Q10">
        <v>2.4587829999999999</v>
      </c>
      <c r="R10">
        <v>2.4619360000000001</v>
      </c>
      <c r="S10">
        <v>2.4690829999999999</v>
      </c>
      <c r="T10">
        <v>2.4846270000000001</v>
      </c>
      <c r="U10">
        <v>2.4918010000000002</v>
      </c>
      <c r="V10">
        <v>2.4948260000000002</v>
      </c>
      <c r="W10">
        <v>2.5005679999999999</v>
      </c>
      <c r="X10">
        <v>2.5099770000000001</v>
      </c>
      <c r="Y10">
        <v>2.5213960000000002</v>
      </c>
      <c r="Z10">
        <v>2.5349650000000001</v>
      </c>
      <c r="AA10">
        <v>2.553261</v>
      </c>
      <c r="AB10">
        <v>2.557693</v>
      </c>
      <c r="AC10">
        <v>2.5674959999999998</v>
      </c>
      <c r="AD10">
        <v>2.576616</v>
      </c>
      <c r="AE10">
        <v>2.5888149999999999</v>
      </c>
      <c r="AF10">
        <v>2.604867</v>
      </c>
      <c r="AG10">
        <v>2.6301209999999999</v>
      </c>
      <c r="AH10">
        <v>2.6482429999999999</v>
      </c>
      <c r="AI10">
        <v>2.6648510000000001</v>
      </c>
      <c r="AJ10">
        <v>2.6717409999999999</v>
      </c>
      <c r="AK10">
        <v>2.681419</v>
      </c>
      <c r="AL10">
        <v>2.6979250000000001</v>
      </c>
      <c r="AM10">
        <v>2.720405</v>
      </c>
      <c r="AN10">
        <v>2.747052</v>
      </c>
      <c r="AO10">
        <v>2.763744</v>
      </c>
      <c r="AP10">
        <v>2.7854899999999998</v>
      </c>
    </row>
    <row r="11" spans="1:42" x14ac:dyDescent="0.3">
      <c r="A11" t="s">
        <v>709</v>
      </c>
      <c r="B11" t="s">
        <v>709</v>
      </c>
      <c r="C11" t="s">
        <v>710</v>
      </c>
      <c r="D11" t="s">
        <v>711</v>
      </c>
      <c r="E11" t="s">
        <v>364</v>
      </c>
      <c r="I11">
        <v>5.2400000000000005E-4</v>
      </c>
      <c r="J11">
        <v>1.1069999999999999E-3</v>
      </c>
      <c r="K11">
        <v>8.2700000000000004E-4</v>
      </c>
      <c r="L11">
        <v>1.2289E-2</v>
      </c>
      <c r="M11">
        <v>1.0519000000000001E-2</v>
      </c>
      <c r="N11">
        <v>1.0773E-2</v>
      </c>
      <c r="O11">
        <v>1.0913000000000001E-2</v>
      </c>
      <c r="P11">
        <v>1.0874999999999999E-2</v>
      </c>
      <c r="Q11">
        <v>1.0836999999999999E-2</v>
      </c>
      <c r="R11">
        <v>1.0801E-2</v>
      </c>
      <c r="S11">
        <v>1.0767000000000001E-2</v>
      </c>
      <c r="T11">
        <v>1.0736000000000001E-2</v>
      </c>
      <c r="U11">
        <v>1.0707E-2</v>
      </c>
      <c r="V11">
        <v>1.0682000000000001E-2</v>
      </c>
      <c r="W11">
        <v>1.0661E-2</v>
      </c>
      <c r="X11">
        <v>1.0644000000000001E-2</v>
      </c>
      <c r="Y11">
        <v>1.0632000000000001E-2</v>
      </c>
      <c r="Z11">
        <v>1.0624E-2</v>
      </c>
      <c r="AA11">
        <v>1.0621999999999999E-2</v>
      </c>
      <c r="AB11">
        <v>1.0621999999999999E-2</v>
      </c>
      <c r="AC11">
        <v>1.0621999999999999E-2</v>
      </c>
      <c r="AD11">
        <v>1.0621999999999999E-2</v>
      </c>
      <c r="AE11">
        <v>1.0621999999999999E-2</v>
      </c>
      <c r="AF11">
        <v>1.0621999999999999E-2</v>
      </c>
      <c r="AG11">
        <v>1.0621999999999999E-2</v>
      </c>
      <c r="AH11">
        <v>1.0621999999999999E-2</v>
      </c>
      <c r="AI11">
        <v>1.0621999999999999E-2</v>
      </c>
      <c r="AJ11">
        <v>1.0621999999999999E-2</v>
      </c>
      <c r="AK11">
        <v>1.0621999999999999E-2</v>
      </c>
      <c r="AL11">
        <v>1.0621999999999999E-2</v>
      </c>
      <c r="AM11">
        <v>1.0621999999999999E-2</v>
      </c>
      <c r="AN11">
        <v>1.0621999999999999E-2</v>
      </c>
      <c r="AO11">
        <v>1.0621999999999999E-2</v>
      </c>
      <c r="AP11">
        <v>1.0621999999999999E-2</v>
      </c>
    </row>
    <row r="12" spans="1:42" x14ac:dyDescent="0.3">
      <c r="A12" t="s">
        <v>712</v>
      </c>
      <c r="B12" t="s">
        <v>712</v>
      </c>
      <c r="C12" t="s">
        <v>713</v>
      </c>
      <c r="D12" t="s">
        <v>714</v>
      </c>
      <c r="E12" t="s">
        <v>364</v>
      </c>
      <c r="I12">
        <v>0.1653</v>
      </c>
      <c r="J12">
        <v>0.16800000000000001</v>
      </c>
      <c r="K12">
        <v>0.16470000000000001</v>
      </c>
      <c r="L12">
        <v>0.16345499999999999</v>
      </c>
      <c r="M12">
        <v>0.156335</v>
      </c>
      <c r="N12">
        <v>0.161768</v>
      </c>
      <c r="O12">
        <v>0.15997600000000001</v>
      </c>
      <c r="P12">
        <v>0.16036500000000001</v>
      </c>
      <c r="Q12">
        <v>0.16234000000000001</v>
      </c>
      <c r="R12">
        <v>0.164713</v>
      </c>
      <c r="S12">
        <v>0.16667599999999999</v>
      </c>
      <c r="T12">
        <v>0.16775599999999999</v>
      </c>
      <c r="U12">
        <v>0.167014</v>
      </c>
      <c r="V12">
        <v>0.16627400000000001</v>
      </c>
      <c r="W12">
        <v>0.165657</v>
      </c>
      <c r="X12">
        <v>0.16491500000000001</v>
      </c>
      <c r="Y12">
        <v>0.16405700000000001</v>
      </c>
      <c r="Z12">
        <v>0.16317799999999999</v>
      </c>
      <c r="AA12">
        <v>0.16239500000000001</v>
      </c>
      <c r="AB12">
        <v>0.161408</v>
      </c>
      <c r="AC12">
        <v>0.16053000000000001</v>
      </c>
      <c r="AD12">
        <v>0.15972800000000001</v>
      </c>
      <c r="AE12">
        <v>0.15995599999999999</v>
      </c>
      <c r="AF12">
        <v>0.160357</v>
      </c>
      <c r="AG12">
        <v>0.160718</v>
      </c>
      <c r="AH12">
        <v>0.160969</v>
      </c>
      <c r="AI12">
        <v>0.16102900000000001</v>
      </c>
      <c r="AJ12">
        <v>0.16096299999999999</v>
      </c>
      <c r="AK12">
        <v>0.16125500000000001</v>
      </c>
      <c r="AL12">
        <v>0.161468</v>
      </c>
      <c r="AM12">
        <v>0.16167300000000001</v>
      </c>
      <c r="AN12">
        <v>0.16187099999999999</v>
      </c>
      <c r="AO12">
        <v>0.162026</v>
      </c>
      <c r="AP12">
        <v>0.162219</v>
      </c>
    </row>
    <row r="13" spans="1:42" x14ac:dyDescent="0.3">
      <c r="A13" t="s">
        <v>715</v>
      </c>
      <c r="B13" t="s">
        <v>715</v>
      </c>
      <c r="C13" t="s">
        <v>716</v>
      </c>
      <c r="D13" t="s">
        <v>717</v>
      </c>
      <c r="E13" t="s">
        <v>364</v>
      </c>
      <c r="I13">
        <v>1.4799</v>
      </c>
      <c r="J13">
        <v>1.4681</v>
      </c>
      <c r="K13">
        <v>1.4597</v>
      </c>
      <c r="L13">
        <v>1.35443</v>
      </c>
      <c r="M13">
        <v>1.3895999999999999</v>
      </c>
      <c r="N13">
        <v>1.3282320000000001</v>
      </c>
      <c r="O13">
        <v>1.4028259999999999</v>
      </c>
      <c r="P13">
        <v>1.37287</v>
      </c>
      <c r="Q13">
        <v>1.379027</v>
      </c>
      <c r="R13">
        <v>1.3815900000000001</v>
      </c>
      <c r="S13">
        <v>1.3878950000000001</v>
      </c>
      <c r="T13">
        <v>1.3993370000000001</v>
      </c>
      <c r="U13">
        <v>1.41076</v>
      </c>
      <c r="V13">
        <v>1.4189320000000001</v>
      </c>
      <c r="W13">
        <v>1.429157</v>
      </c>
      <c r="X13">
        <v>1.443031</v>
      </c>
      <c r="Y13">
        <v>1.4565079999999999</v>
      </c>
      <c r="Z13">
        <v>1.4709570000000001</v>
      </c>
      <c r="AA13">
        <v>1.482958</v>
      </c>
      <c r="AB13">
        <v>1.48898</v>
      </c>
      <c r="AC13">
        <v>1.4987729999999999</v>
      </c>
      <c r="AD13">
        <v>1.5069980000000001</v>
      </c>
      <c r="AE13">
        <v>1.516537</v>
      </c>
      <c r="AF13">
        <v>1.528081</v>
      </c>
      <c r="AG13">
        <v>1.540243</v>
      </c>
      <c r="AH13">
        <v>1.5521320000000001</v>
      </c>
      <c r="AI13">
        <v>1.5620019999999999</v>
      </c>
      <c r="AJ13">
        <v>1.568192</v>
      </c>
      <c r="AK13">
        <v>1.5709299999999999</v>
      </c>
      <c r="AL13">
        <v>1.577018</v>
      </c>
      <c r="AM13">
        <v>1.5876319999999999</v>
      </c>
      <c r="AN13">
        <v>1.5930029999999999</v>
      </c>
      <c r="AO13">
        <v>1.600503</v>
      </c>
      <c r="AP13">
        <v>1.6157809999999999</v>
      </c>
    </row>
    <row r="14" spans="1:42" x14ac:dyDescent="0.3">
      <c r="A14" t="s">
        <v>466</v>
      </c>
      <c r="B14" t="s">
        <v>466</v>
      </c>
      <c r="C14" t="s">
        <v>718</v>
      </c>
      <c r="D14" t="s">
        <v>719</v>
      </c>
      <c r="E14" t="s">
        <v>364</v>
      </c>
      <c r="I14">
        <v>0.78399600000000003</v>
      </c>
      <c r="J14">
        <v>0.78241799999999995</v>
      </c>
      <c r="K14">
        <v>0.90236000000000005</v>
      </c>
      <c r="L14">
        <v>0.90481</v>
      </c>
      <c r="M14">
        <v>0.94018999999999997</v>
      </c>
      <c r="N14">
        <v>0.918076</v>
      </c>
      <c r="O14">
        <v>0.98457799999999995</v>
      </c>
      <c r="P14">
        <v>0.91028900000000001</v>
      </c>
      <c r="Q14">
        <v>0.90657900000000002</v>
      </c>
      <c r="R14">
        <v>0.90483100000000005</v>
      </c>
      <c r="S14">
        <v>0.90374500000000002</v>
      </c>
      <c r="T14">
        <v>0.90679799999999999</v>
      </c>
      <c r="U14">
        <v>0.90332000000000001</v>
      </c>
      <c r="V14">
        <v>0.89893800000000001</v>
      </c>
      <c r="W14">
        <v>0.89509300000000003</v>
      </c>
      <c r="X14">
        <v>0.89138700000000004</v>
      </c>
      <c r="Y14">
        <v>0.89019999999999999</v>
      </c>
      <c r="Z14">
        <v>0.89020600000000005</v>
      </c>
      <c r="AA14">
        <v>0.89728600000000003</v>
      </c>
      <c r="AB14">
        <v>0.89668300000000001</v>
      </c>
      <c r="AC14">
        <v>0.89757100000000001</v>
      </c>
      <c r="AD14">
        <v>0.89926799999999996</v>
      </c>
      <c r="AE14">
        <v>0.90170099999999997</v>
      </c>
      <c r="AF14">
        <v>0.90580700000000003</v>
      </c>
      <c r="AG14">
        <v>0.91853799999999997</v>
      </c>
      <c r="AH14">
        <v>0.92452100000000004</v>
      </c>
      <c r="AI14">
        <v>0.93119799999999997</v>
      </c>
      <c r="AJ14">
        <v>0.93196400000000001</v>
      </c>
      <c r="AK14">
        <v>0.93861300000000003</v>
      </c>
      <c r="AL14">
        <v>0.94881700000000002</v>
      </c>
      <c r="AM14">
        <v>0.96047800000000005</v>
      </c>
      <c r="AN14">
        <v>0.98155700000000001</v>
      </c>
      <c r="AO14">
        <v>0.99059399999999997</v>
      </c>
      <c r="AP14">
        <v>0.99686799999999998</v>
      </c>
    </row>
    <row r="15" spans="1:42" x14ac:dyDescent="0.3">
      <c r="A15" t="s">
        <v>479</v>
      </c>
      <c r="B15" t="s">
        <v>479</v>
      </c>
      <c r="C15" t="s">
        <v>720</v>
      </c>
      <c r="D15" t="s">
        <v>721</v>
      </c>
      <c r="E15" t="s">
        <v>364</v>
      </c>
      <c r="I15">
        <v>1.519158</v>
      </c>
      <c r="J15">
        <v>1.5506930000000001</v>
      </c>
      <c r="K15">
        <v>1.5304629999999999</v>
      </c>
      <c r="L15">
        <v>1.331656</v>
      </c>
      <c r="M15">
        <v>1.4810829999999999</v>
      </c>
      <c r="N15">
        <v>1.6439569999999999</v>
      </c>
      <c r="O15">
        <v>1.68746</v>
      </c>
      <c r="P15">
        <v>1.7501439999999999</v>
      </c>
      <c r="Q15">
        <v>1.713519</v>
      </c>
      <c r="R15">
        <v>1.7038390000000001</v>
      </c>
      <c r="S15">
        <v>1.7015279999999999</v>
      </c>
      <c r="T15">
        <v>1.5876999999999999</v>
      </c>
      <c r="U15">
        <v>1.5869660000000001</v>
      </c>
      <c r="V15">
        <v>1.586138</v>
      </c>
      <c r="W15">
        <v>1.585172</v>
      </c>
      <c r="X15">
        <v>1.583934</v>
      </c>
      <c r="Y15">
        <v>1.582892</v>
      </c>
      <c r="Z15">
        <v>1.5815950000000001</v>
      </c>
      <c r="AA15">
        <v>1.5800190000000001</v>
      </c>
      <c r="AB15">
        <v>1.5786439999999999</v>
      </c>
      <c r="AC15">
        <v>1.5772600000000001</v>
      </c>
      <c r="AD15">
        <v>1.5758639999999999</v>
      </c>
      <c r="AE15">
        <v>1.574471</v>
      </c>
      <c r="AF15">
        <v>1.5730500000000001</v>
      </c>
      <c r="AG15">
        <v>1.5713459999999999</v>
      </c>
      <c r="AH15">
        <v>1.569874</v>
      </c>
      <c r="AI15">
        <v>1.568397</v>
      </c>
      <c r="AJ15">
        <v>1.567132</v>
      </c>
      <c r="AK15">
        <v>1.5656760000000001</v>
      </c>
      <c r="AL15">
        <v>1.579699</v>
      </c>
      <c r="AM15">
        <v>1.603261</v>
      </c>
      <c r="AN15">
        <v>1.648387</v>
      </c>
      <c r="AO15">
        <v>1.6785369999999999</v>
      </c>
      <c r="AP15">
        <v>1.6990639999999999</v>
      </c>
    </row>
    <row r="16" spans="1:42" s="50" customFormat="1" x14ac:dyDescent="0.3">
      <c r="A16" t="s">
        <v>722</v>
      </c>
      <c r="B16" s="50" t="s">
        <v>722</v>
      </c>
      <c r="C16" s="50" t="s">
        <v>723</v>
      </c>
      <c r="D16" s="50" t="s">
        <v>724</v>
      </c>
      <c r="E16" s="50" t="s">
        <v>364</v>
      </c>
      <c r="F16" s="50">
        <v>0</v>
      </c>
      <c r="G16" s="50">
        <v>0</v>
      </c>
      <c r="H16" s="50">
        <v>0</v>
      </c>
      <c r="I16" s="50">
        <v>6.0400000000000002E-3</v>
      </c>
      <c r="J16" s="50">
        <v>2.7022999999999998E-2</v>
      </c>
      <c r="K16" s="50">
        <v>9.8600000000000007E-3</v>
      </c>
      <c r="L16" s="50">
        <v>2.0695999999999999E-2</v>
      </c>
      <c r="M16" s="50">
        <v>2.3879999999999998E-2</v>
      </c>
      <c r="N16">
        <v>2.2315999999999999E-2</v>
      </c>
      <c r="O16">
        <v>2.2565000000000002E-2</v>
      </c>
      <c r="P16">
        <v>2.47E-3</v>
      </c>
      <c r="Q16">
        <v>2.287E-3</v>
      </c>
      <c r="R16">
        <v>2.0240000000000002E-3</v>
      </c>
      <c r="S16">
        <v>1.913E-3</v>
      </c>
      <c r="T16">
        <v>1.8569999999999999E-3</v>
      </c>
      <c r="U16">
        <v>1.9239999999999999E-3</v>
      </c>
      <c r="V16">
        <v>1.8259999999999999E-3</v>
      </c>
      <c r="W16">
        <v>1.6869999999999999E-3</v>
      </c>
      <c r="X16">
        <v>1.5679999999999999E-3</v>
      </c>
      <c r="Y16">
        <v>1.4710000000000001E-3</v>
      </c>
      <c r="Z16">
        <v>1.392E-3</v>
      </c>
      <c r="AA16">
        <v>1.3090000000000001E-3</v>
      </c>
      <c r="AB16">
        <v>1.2260000000000001E-3</v>
      </c>
      <c r="AC16">
        <v>1.1620000000000001E-3</v>
      </c>
      <c r="AD16">
        <v>1.1000000000000001E-3</v>
      </c>
      <c r="AE16">
        <v>1.0510000000000001E-3</v>
      </c>
      <c r="AF16">
        <v>1.023E-3</v>
      </c>
      <c r="AG16">
        <v>1.0070000000000001E-3</v>
      </c>
      <c r="AH16">
        <v>9.859999999999999E-4</v>
      </c>
      <c r="AI16">
        <v>9.7499999999999996E-4</v>
      </c>
      <c r="AJ16">
        <v>9.9099999999999991E-4</v>
      </c>
      <c r="AK16">
        <v>9.6199999999999996E-4</v>
      </c>
      <c r="AL16">
        <v>9.6100000000000005E-4</v>
      </c>
      <c r="AM16">
        <v>9.7900000000000005E-4</v>
      </c>
      <c r="AN16">
        <v>9.7799999999999992E-4</v>
      </c>
      <c r="AO16">
        <v>9.7900000000000005E-4</v>
      </c>
      <c r="AP16">
        <v>9.7300000000000002E-4</v>
      </c>
    </row>
    <row r="17" spans="1:42" s="50" customFormat="1" x14ac:dyDescent="0.3">
      <c r="A17" t="s">
        <v>725</v>
      </c>
      <c r="B17" s="50" t="s">
        <v>725</v>
      </c>
      <c r="C17" s="50" t="s">
        <v>726</v>
      </c>
      <c r="D17" s="50" t="s">
        <v>727</v>
      </c>
      <c r="E17" s="50" t="s">
        <v>364</v>
      </c>
      <c r="F17" s="50">
        <v>1.1100000000000001</v>
      </c>
      <c r="G17" s="50">
        <v>1.1499999999999999</v>
      </c>
      <c r="H17" s="50">
        <v>1.17</v>
      </c>
      <c r="I17" s="50">
        <v>1.1932579999999999</v>
      </c>
      <c r="J17" s="50">
        <v>1.1600429999999999</v>
      </c>
      <c r="K17" s="50">
        <v>1.170234</v>
      </c>
      <c r="L17" s="50">
        <v>1.0145219999999999</v>
      </c>
      <c r="M17" s="50">
        <v>1.0965640000000001</v>
      </c>
      <c r="N17">
        <v>1.1250899999999999</v>
      </c>
      <c r="O17">
        <v>1.1227320000000001</v>
      </c>
      <c r="P17">
        <v>1.159613</v>
      </c>
      <c r="Q17">
        <v>1.165419</v>
      </c>
      <c r="R17">
        <v>1.1877040000000001</v>
      </c>
      <c r="S17">
        <v>1.188221</v>
      </c>
      <c r="T17">
        <v>1.179376</v>
      </c>
      <c r="U17">
        <v>1.165864</v>
      </c>
      <c r="V17">
        <v>1.146112</v>
      </c>
      <c r="W17">
        <v>1.1259999999999999</v>
      </c>
      <c r="X17">
        <v>1.099793</v>
      </c>
      <c r="Y17">
        <v>1.0724659999999999</v>
      </c>
      <c r="Z17">
        <v>1.0459860000000001</v>
      </c>
      <c r="AA17">
        <v>1.0189029999999999</v>
      </c>
      <c r="AB17">
        <v>0.98849799999999999</v>
      </c>
      <c r="AC17">
        <v>0.95853900000000003</v>
      </c>
      <c r="AD17">
        <v>0.93099299999999996</v>
      </c>
      <c r="AE17">
        <v>0.90470600000000001</v>
      </c>
      <c r="AF17">
        <v>0.88137699999999997</v>
      </c>
      <c r="AG17">
        <v>0.85975500000000005</v>
      </c>
      <c r="AH17">
        <v>0.838445</v>
      </c>
      <c r="AI17">
        <v>0.82196599999999997</v>
      </c>
      <c r="AJ17">
        <v>0.80488499999999996</v>
      </c>
      <c r="AK17">
        <v>0.79235800000000001</v>
      </c>
      <c r="AL17">
        <v>0.78030699999999997</v>
      </c>
      <c r="AM17">
        <v>0.77172399999999997</v>
      </c>
      <c r="AN17">
        <v>0.76090000000000002</v>
      </c>
      <c r="AO17">
        <v>0.75533899999999998</v>
      </c>
      <c r="AP17">
        <v>0.751911</v>
      </c>
    </row>
    <row r="18" spans="1:42" s="50" customFormat="1" x14ac:dyDescent="0.3">
      <c r="A18" t="s">
        <v>728</v>
      </c>
      <c r="B18" s="50" t="s">
        <v>728</v>
      </c>
      <c r="C18" s="50" t="s">
        <v>729</v>
      </c>
      <c r="D18" s="50" t="s">
        <v>730</v>
      </c>
      <c r="E18" s="50" t="s">
        <v>364</v>
      </c>
      <c r="F18" s="50">
        <v>0.19</v>
      </c>
      <c r="G18" s="50">
        <v>0.22</v>
      </c>
      <c r="H18" s="50">
        <v>0.31</v>
      </c>
      <c r="I18" s="50">
        <v>0.26588699999999998</v>
      </c>
      <c r="J18" s="50">
        <v>0.295344</v>
      </c>
      <c r="K18" s="50">
        <v>0.28631400000000001</v>
      </c>
      <c r="L18" s="50">
        <v>0.22708700000000001</v>
      </c>
      <c r="M18" s="50">
        <v>0.21432399999999999</v>
      </c>
      <c r="N18">
        <v>0.20156299999999999</v>
      </c>
      <c r="O18">
        <v>0.18984000000000001</v>
      </c>
      <c r="P18">
        <v>0.237455</v>
      </c>
      <c r="Q18">
        <v>0.19770699999999999</v>
      </c>
      <c r="R18">
        <v>0.20169999999999999</v>
      </c>
      <c r="S18">
        <v>0.19333700000000001</v>
      </c>
      <c r="T18">
        <v>7.9717999999999997E-2</v>
      </c>
      <c r="U18">
        <v>0.11038000000000001</v>
      </c>
      <c r="V18">
        <v>0.120101</v>
      </c>
      <c r="W18">
        <v>0.11894</v>
      </c>
      <c r="X18">
        <v>0.128111</v>
      </c>
      <c r="Y18">
        <v>0.15434200000000001</v>
      </c>
      <c r="Z18">
        <v>0.17313999999999999</v>
      </c>
      <c r="AA18">
        <v>0.172623</v>
      </c>
      <c r="AB18">
        <v>0.16558600000000001</v>
      </c>
      <c r="AC18">
        <v>0.15334999999999999</v>
      </c>
      <c r="AD18">
        <v>0.148728</v>
      </c>
      <c r="AE18">
        <v>0.14280999999999999</v>
      </c>
      <c r="AF18">
        <v>0.13597400000000001</v>
      </c>
      <c r="AG18">
        <v>0.129941</v>
      </c>
      <c r="AH18">
        <v>0.127808</v>
      </c>
      <c r="AI18">
        <v>0.12442400000000001</v>
      </c>
      <c r="AJ18">
        <v>0.120379</v>
      </c>
      <c r="AK18">
        <v>0.11618199999999999</v>
      </c>
      <c r="AL18">
        <v>0.111828</v>
      </c>
      <c r="AM18">
        <v>0.10731499999999999</v>
      </c>
      <c r="AN18">
        <v>0.10264</v>
      </c>
      <c r="AO18">
        <v>9.7955E-2</v>
      </c>
      <c r="AP18">
        <v>9.3270000000000006E-2</v>
      </c>
    </row>
    <row r="19" spans="1:42" x14ac:dyDescent="0.3">
      <c r="A19" t="s">
        <v>731</v>
      </c>
      <c r="B19" t="s">
        <v>731</v>
      </c>
      <c r="C19" t="s">
        <v>732</v>
      </c>
      <c r="D19" t="s">
        <v>733</v>
      </c>
      <c r="E19" t="s">
        <v>364</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row>
    <row r="20" spans="1:42" x14ac:dyDescent="0.3">
      <c r="A20" t="s">
        <v>734</v>
      </c>
      <c r="B20" t="s">
        <v>734</v>
      </c>
      <c r="C20" t="s">
        <v>735</v>
      </c>
      <c r="D20" t="s">
        <v>736</v>
      </c>
      <c r="E20" t="s">
        <v>364</v>
      </c>
      <c r="I20">
        <v>0</v>
      </c>
      <c r="J20">
        <v>3.4099999999999999E-4</v>
      </c>
      <c r="K20">
        <v>2.745E-3</v>
      </c>
      <c r="L20">
        <v>0</v>
      </c>
      <c r="M20">
        <v>1.2999999999999999E-5</v>
      </c>
      <c r="N20">
        <v>1.026E-3</v>
      </c>
      <c r="O20">
        <v>1.1540000000000001E-3</v>
      </c>
      <c r="P20">
        <v>3.143E-3</v>
      </c>
      <c r="Q20">
        <v>4.2420000000000001E-3</v>
      </c>
      <c r="R20">
        <v>4.248E-3</v>
      </c>
      <c r="S20">
        <v>4.2490000000000002E-3</v>
      </c>
      <c r="T20">
        <v>4.2490000000000002E-3</v>
      </c>
      <c r="U20">
        <v>4.2490000000000002E-3</v>
      </c>
      <c r="V20">
        <v>4.2490000000000002E-3</v>
      </c>
      <c r="W20">
        <v>4.2069999999999998E-3</v>
      </c>
      <c r="X20">
        <v>4.1929999999999997E-3</v>
      </c>
      <c r="Y20">
        <v>4.1929999999999997E-3</v>
      </c>
      <c r="Z20">
        <v>4.2500000000000003E-3</v>
      </c>
      <c r="AA20">
        <v>4.1929999999999997E-3</v>
      </c>
      <c r="AB20">
        <v>4.1929999999999997E-3</v>
      </c>
      <c r="AC20">
        <v>4.1939999999999998E-3</v>
      </c>
      <c r="AD20">
        <v>4.1939999999999998E-3</v>
      </c>
      <c r="AE20">
        <v>4.1939999999999998E-3</v>
      </c>
      <c r="AF20">
        <v>4.1939999999999998E-3</v>
      </c>
      <c r="AG20">
        <v>4.1939999999999998E-3</v>
      </c>
      <c r="AH20">
        <v>4.1939999999999998E-3</v>
      </c>
      <c r="AI20">
        <v>4.1939999999999998E-3</v>
      </c>
      <c r="AJ20">
        <v>4.1949999999999999E-3</v>
      </c>
      <c r="AK20">
        <v>4.1949999999999999E-3</v>
      </c>
      <c r="AL20">
        <v>4.1949999999999999E-3</v>
      </c>
      <c r="AM20">
        <v>4.1949999999999999E-3</v>
      </c>
      <c r="AN20">
        <v>4.1949999999999999E-3</v>
      </c>
      <c r="AO20">
        <v>4.1949999999999999E-3</v>
      </c>
      <c r="AP20">
        <v>4.1949999999999999E-3</v>
      </c>
    </row>
    <row r="21" spans="1:42" s="50" customFormat="1" x14ac:dyDescent="0.3">
      <c r="A21" t="s">
        <v>737</v>
      </c>
      <c r="B21" s="50" t="s">
        <v>737</v>
      </c>
      <c r="C21" s="50" t="s">
        <v>738</v>
      </c>
      <c r="D21" s="50" t="s">
        <v>739</v>
      </c>
      <c r="E21" s="50" t="s">
        <v>364</v>
      </c>
      <c r="F21" s="50">
        <v>0</v>
      </c>
      <c r="G21" s="50">
        <v>0.01</v>
      </c>
      <c r="H21" s="50">
        <v>0.04</v>
      </c>
      <c r="I21" s="50">
        <v>5.3973E-2</v>
      </c>
      <c r="J21" s="50">
        <v>6.7943000000000003E-2</v>
      </c>
      <c r="K21" s="50">
        <v>6.1310999999999997E-2</v>
      </c>
      <c r="L21" s="50">
        <v>6.9350999999999996E-2</v>
      </c>
      <c r="M21" s="50">
        <v>0.14630299999999999</v>
      </c>
      <c r="N21">
        <v>0.293962</v>
      </c>
      <c r="O21">
        <v>0.35116999999999998</v>
      </c>
      <c r="P21">
        <v>0.37634899999999999</v>
      </c>
      <c r="Q21">
        <v>0.42879</v>
      </c>
      <c r="R21">
        <v>0.444129</v>
      </c>
      <c r="S21">
        <v>0.43093799999999999</v>
      </c>
      <c r="T21">
        <v>0.38757200000000003</v>
      </c>
      <c r="U21">
        <v>0.3705</v>
      </c>
      <c r="V21">
        <v>0.37968000000000002</v>
      </c>
      <c r="W21">
        <v>0.39998099999999998</v>
      </c>
      <c r="X21">
        <v>0.41630800000000001</v>
      </c>
      <c r="Y21">
        <v>0.41733199999999998</v>
      </c>
      <c r="Z21">
        <v>0.42454500000000001</v>
      </c>
      <c r="AA21">
        <v>0.450986</v>
      </c>
      <c r="AB21">
        <v>0.48663899999999999</v>
      </c>
      <c r="AC21">
        <v>0.52703</v>
      </c>
      <c r="AD21">
        <v>0.55769999999999997</v>
      </c>
      <c r="AE21">
        <v>0.58825400000000005</v>
      </c>
      <c r="AF21">
        <v>0.61660599999999999</v>
      </c>
      <c r="AG21">
        <v>0.64264100000000002</v>
      </c>
      <c r="AH21">
        <v>0.664605</v>
      </c>
      <c r="AI21">
        <v>0.68295300000000003</v>
      </c>
      <c r="AJ21">
        <v>0.70218700000000001</v>
      </c>
      <c r="AK21">
        <v>0.71736100000000003</v>
      </c>
      <c r="AL21">
        <v>0.73216499999999995</v>
      </c>
      <c r="AM21">
        <v>0.74364399999999997</v>
      </c>
      <c r="AN21">
        <v>0.75748499999999996</v>
      </c>
      <c r="AO21">
        <v>0.76618699999999995</v>
      </c>
      <c r="AP21">
        <v>0.77233300000000005</v>
      </c>
    </row>
    <row r="22" spans="1:42" x14ac:dyDescent="0.3">
      <c r="A22" t="s">
        <v>581</v>
      </c>
      <c r="B22" t="s">
        <v>581</v>
      </c>
      <c r="C22" t="s">
        <v>740</v>
      </c>
      <c r="D22" t="s">
        <v>741</v>
      </c>
      <c r="E22" t="s">
        <v>364</v>
      </c>
      <c r="I22">
        <v>6.246861</v>
      </c>
      <c r="J22">
        <v>6.428922</v>
      </c>
      <c r="K22">
        <v>6.6521280000000003</v>
      </c>
      <c r="L22">
        <v>6.9892469999999998</v>
      </c>
      <c r="M22">
        <v>7.1648370000000003</v>
      </c>
      <c r="N22">
        <v>8.0840899999999998</v>
      </c>
      <c r="O22">
        <v>8.6055949999999992</v>
      </c>
      <c r="P22">
        <v>9.2536000000000005</v>
      </c>
      <c r="Q22">
        <v>10.769812</v>
      </c>
      <c r="R22">
        <v>12.489632</v>
      </c>
      <c r="S22">
        <v>14.207677</v>
      </c>
      <c r="T22">
        <v>15.657</v>
      </c>
      <c r="U22">
        <v>16.679596</v>
      </c>
      <c r="V22">
        <v>17.569942000000001</v>
      </c>
      <c r="W22">
        <v>18.211523</v>
      </c>
      <c r="X22">
        <v>18.849072</v>
      </c>
      <c r="Y22">
        <v>19.601134999999999</v>
      </c>
      <c r="Z22">
        <v>20.207751999999999</v>
      </c>
      <c r="AA22">
        <v>20.684017000000001</v>
      </c>
      <c r="AB22">
        <v>21.174015000000001</v>
      </c>
      <c r="AC22">
        <v>21.527521</v>
      </c>
      <c r="AD22">
        <v>21.819600999999999</v>
      </c>
      <c r="AE22">
        <v>21.990220999999998</v>
      </c>
      <c r="AF22">
        <v>22.281153</v>
      </c>
      <c r="AG22">
        <v>22.423573999999999</v>
      </c>
      <c r="AH22">
        <v>22.664766</v>
      </c>
      <c r="AI22">
        <v>22.940054</v>
      </c>
      <c r="AJ22">
        <v>23.344435000000001</v>
      </c>
      <c r="AK22">
        <v>23.717884000000002</v>
      </c>
      <c r="AL22">
        <v>24.147013000000001</v>
      </c>
      <c r="AM22">
        <v>24.507113</v>
      </c>
      <c r="AN22">
        <v>24.872579999999999</v>
      </c>
      <c r="AO22">
        <v>25.165534999999998</v>
      </c>
      <c r="AP22">
        <v>25.597913999999999</v>
      </c>
    </row>
    <row r="23" spans="1:42" x14ac:dyDescent="0.3">
      <c r="A23" t="s">
        <v>709</v>
      </c>
      <c r="B23" t="s">
        <v>709</v>
      </c>
      <c r="C23" t="s">
        <v>742</v>
      </c>
      <c r="D23" t="s">
        <v>743</v>
      </c>
      <c r="E23" t="s">
        <v>364</v>
      </c>
      <c r="I23">
        <v>2.7571279999999998</v>
      </c>
      <c r="J23">
        <v>2.6098940000000002</v>
      </c>
      <c r="K23">
        <v>2.6263960000000002</v>
      </c>
      <c r="L23">
        <v>2.5221230000000001</v>
      </c>
      <c r="M23">
        <v>2.2785090000000001</v>
      </c>
      <c r="N23">
        <v>2.4426809999999999</v>
      </c>
      <c r="O23">
        <v>2.4475500000000001</v>
      </c>
      <c r="P23">
        <v>2.491689</v>
      </c>
      <c r="Q23">
        <v>2.5778460000000001</v>
      </c>
      <c r="R23">
        <v>2.5689220000000001</v>
      </c>
      <c r="S23">
        <v>2.5460590000000001</v>
      </c>
      <c r="T23">
        <v>2.5046460000000002</v>
      </c>
      <c r="U23">
        <v>2.4754890000000001</v>
      </c>
      <c r="V23">
        <v>2.4467430000000001</v>
      </c>
      <c r="W23">
        <v>2.425799</v>
      </c>
      <c r="X23">
        <v>2.409033</v>
      </c>
      <c r="Y23">
        <v>2.4117489999999999</v>
      </c>
      <c r="Z23">
        <v>2.4157820000000001</v>
      </c>
      <c r="AA23">
        <v>2.4193760000000002</v>
      </c>
      <c r="AB23">
        <v>2.424693</v>
      </c>
      <c r="AC23">
        <v>2.41289</v>
      </c>
      <c r="AD23">
        <v>2.3995289999999998</v>
      </c>
      <c r="AE23">
        <v>2.3755860000000002</v>
      </c>
      <c r="AF23">
        <v>2.3708</v>
      </c>
      <c r="AG23">
        <v>2.3555199999999998</v>
      </c>
      <c r="AH23">
        <v>2.3587880000000001</v>
      </c>
      <c r="AI23">
        <v>2.3520150000000002</v>
      </c>
      <c r="AJ23">
        <v>2.3469769999999999</v>
      </c>
      <c r="AK23">
        <v>2.343842</v>
      </c>
      <c r="AL23">
        <v>2.3326199999999999</v>
      </c>
      <c r="AM23">
        <v>2.325793</v>
      </c>
      <c r="AN23">
        <v>2.3234539999999999</v>
      </c>
      <c r="AO23">
        <v>2.3103210000000001</v>
      </c>
      <c r="AP23">
        <v>2.298403</v>
      </c>
    </row>
    <row r="24" spans="1:42" x14ac:dyDescent="0.3">
      <c r="A24" t="s">
        <v>744</v>
      </c>
      <c r="B24" t="s">
        <v>744</v>
      </c>
      <c r="C24" t="s">
        <v>745</v>
      </c>
      <c r="D24" t="s">
        <v>746</v>
      </c>
      <c r="E24" t="s">
        <v>364</v>
      </c>
      <c r="I24">
        <v>0.14647099999999999</v>
      </c>
      <c r="J24">
        <v>0.15135499999999999</v>
      </c>
      <c r="K24">
        <v>0.15040100000000001</v>
      </c>
      <c r="L24">
        <v>0.13980699999999999</v>
      </c>
      <c r="M24">
        <v>0.139767</v>
      </c>
      <c r="N24">
        <v>0.138575</v>
      </c>
      <c r="O24">
        <v>0.13413900000000001</v>
      </c>
      <c r="P24">
        <v>0.13885600000000001</v>
      </c>
      <c r="Q24">
        <v>0.14611099999999999</v>
      </c>
      <c r="R24">
        <v>0.15206600000000001</v>
      </c>
      <c r="S24">
        <v>0.156023</v>
      </c>
      <c r="T24">
        <v>0.159828</v>
      </c>
      <c r="U24">
        <v>0.16723299999999999</v>
      </c>
      <c r="V24">
        <v>0.174095</v>
      </c>
      <c r="W24">
        <v>0.17849300000000001</v>
      </c>
      <c r="X24">
        <v>0.184554</v>
      </c>
      <c r="Y24">
        <v>0.187499</v>
      </c>
      <c r="Z24">
        <v>0.19506599999999999</v>
      </c>
      <c r="AA24">
        <v>0.201046</v>
      </c>
      <c r="AB24">
        <v>0.21044099999999999</v>
      </c>
      <c r="AC24">
        <v>0.21734200000000001</v>
      </c>
      <c r="AD24">
        <v>0.223436</v>
      </c>
      <c r="AE24">
        <v>0.22589999999999999</v>
      </c>
      <c r="AF24">
        <v>0.22914699999999999</v>
      </c>
      <c r="AG24">
        <v>0.23424600000000001</v>
      </c>
      <c r="AH24">
        <v>0.240622</v>
      </c>
      <c r="AI24">
        <v>0.24477199999999999</v>
      </c>
      <c r="AJ24">
        <v>0.249637</v>
      </c>
      <c r="AK24">
        <v>0.25794</v>
      </c>
      <c r="AL24">
        <v>0.26946700000000001</v>
      </c>
      <c r="AM24">
        <v>0.28115000000000001</v>
      </c>
      <c r="AN24">
        <v>0.28858800000000001</v>
      </c>
      <c r="AO24">
        <v>0.29608600000000002</v>
      </c>
      <c r="AP24">
        <v>0.302234</v>
      </c>
    </row>
    <row r="25" spans="1:42" x14ac:dyDescent="0.3">
      <c r="A25" t="s">
        <v>747</v>
      </c>
      <c r="B25" t="s">
        <v>747</v>
      </c>
      <c r="C25" t="s">
        <v>748</v>
      </c>
      <c r="D25" t="s">
        <v>749</v>
      </c>
      <c r="E25" t="s">
        <v>364</v>
      </c>
      <c r="I25">
        <v>0.27030700000000002</v>
      </c>
      <c r="J25">
        <v>0.30338500000000002</v>
      </c>
      <c r="K25">
        <v>0.30125400000000002</v>
      </c>
      <c r="L25">
        <v>0.29455799999999999</v>
      </c>
      <c r="M25">
        <v>0.28105400000000003</v>
      </c>
      <c r="N25">
        <v>0.22191</v>
      </c>
      <c r="O25">
        <v>0.22822400000000001</v>
      </c>
      <c r="P25">
        <v>0.23389199999999999</v>
      </c>
      <c r="Q25">
        <v>0.23910899999999999</v>
      </c>
      <c r="R25">
        <v>0.244032</v>
      </c>
      <c r="S25">
        <v>0.25166899999999998</v>
      </c>
      <c r="T25">
        <v>0.25515500000000002</v>
      </c>
      <c r="U25">
        <v>0.26226699999999997</v>
      </c>
      <c r="V25">
        <v>0.27031699999999997</v>
      </c>
      <c r="W25">
        <v>0.27827200000000002</v>
      </c>
      <c r="X25">
        <v>0.28557900000000003</v>
      </c>
      <c r="Y25">
        <v>0.29682999999999998</v>
      </c>
      <c r="Z25">
        <v>0.30375600000000003</v>
      </c>
      <c r="AA25">
        <v>0.31219200000000003</v>
      </c>
      <c r="AB25">
        <v>0.32144499999999998</v>
      </c>
      <c r="AC25">
        <v>0.330951</v>
      </c>
      <c r="AD25">
        <v>0.34223100000000001</v>
      </c>
      <c r="AE25">
        <v>0.35276000000000002</v>
      </c>
      <c r="AF25">
        <v>0.36073</v>
      </c>
      <c r="AG25">
        <v>0.36913899999999999</v>
      </c>
      <c r="AH25">
        <v>0.37791400000000003</v>
      </c>
      <c r="AI25">
        <v>0.38653799999999999</v>
      </c>
      <c r="AJ25">
        <v>0.39555499999999999</v>
      </c>
      <c r="AK25">
        <v>0.40465499999999999</v>
      </c>
      <c r="AL25">
        <v>0.41011900000000001</v>
      </c>
      <c r="AM25">
        <v>0.41692600000000002</v>
      </c>
      <c r="AN25">
        <v>0.42285099999999998</v>
      </c>
      <c r="AO25">
        <v>0.42875000000000002</v>
      </c>
      <c r="AP25">
        <v>0.43554999999999999</v>
      </c>
    </row>
    <row r="26" spans="1:42" x14ac:dyDescent="0.3">
      <c r="A26" t="s">
        <v>715</v>
      </c>
      <c r="B26" t="s">
        <v>715</v>
      </c>
      <c r="C26" t="s">
        <v>750</v>
      </c>
      <c r="D26" t="s">
        <v>751</v>
      </c>
      <c r="E26" t="s">
        <v>364</v>
      </c>
      <c r="I26">
        <v>0.230408</v>
      </c>
      <c r="J26">
        <v>0.22256999999999999</v>
      </c>
      <c r="K26">
        <v>0.20382</v>
      </c>
      <c r="L26">
        <v>0.204482</v>
      </c>
      <c r="M26">
        <v>0.205146</v>
      </c>
      <c r="N26">
        <v>0.18033099999999999</v>
      </c>
      <c r="O26">
        <v>0.19247300000000001</v>
      </c>
      <c r="P26">
        <v>0.180116</v>
      </c>
      <c r="Q26">
        <v>0.181063</v>
      </c>
      <c r="R26">
        <v>0.17774899999999999</v>
      </c>
      <c r="S26">
        <v>0.17513100000000001</v>
      </c>
      <c r="T26">
        <v>0.16562299999999999</v>
      </c>
      <c r="U26">
        <v>0.16134599999999999</v>
      </c>
      <c r="V26">
        <v>0.161241</v>
      </c>
      <c r="W26">
        <v>0.162494</v>
      </c>
      <c r="X26">
        <v>0.162658</v>
      </c>
      <c r="Y26">
        <v>0.16386800000000001</v>
      </c>
      <c r="Z26">
        <v>0.163854</v>
      </c>
      <c r="AA26">
        <v>0.16414899999999999</v>
      </c>
      <c r="AB26">
        <v>0.16386200000000001</v>
      </c>
      <c r="AC26">
        <v>0.16453699999999999</v>
      </c>
      <c r="AD26">
        <v>0.16523299999999999</v>
      </c>
      <c r="AE26">
        <v>0.16527900000000001</v>
      </c>
      <c r="AF26">
        <v>0.16547999999999999</v>
      </c>
      <c r="AG26">
        <v>0.165659</v>
      </c>
      <c r="AH26">
        <v>0.16476299999999999</v>
      </c>
      <c r="AI26">
        <v>0.16476499999999999</v>
      </c>
      <c r="AJ26">
        <v>0.164578</v>
      </c>
      <c r="AK26">
        <v>0.16470000000000001</v>
      </c>
      <c r="AL26">
        <v>0.170629</v>
      </c>
      <c r="AM26">
        <v>0.17097200000000001</v>
      </c>
      <c r="AN26">
        <v>0.17146400000000001</v>
      </c>
      <c r="AO26">
        <v>0.176981</v>
      </c>
      <c r="AP26">
        <v>0.17775199999999999</v>
      </c>
    </row>
    <row r="27" spans="1:42" x14ac:dyDescent="0.3">
      <c r="A27" t="s">
        <v>752</v>
      </c>
      <c r="B27" t="s">
        <v>752</v>
      </c>
      <c r="C27" t="s">
        <v>753</v>
      </c>
      <c r="D27" t="s">
        <v>754</v>
      </c>
      <c r="E27" t="s">
        <v>364</v>
      </c>
      <c r="I27">
        <v>0.177645</v>
      </c>
      <c r="J27">
        <v>0.17693800000000001</v>
      </c>
      <c r="K27">
        <v>0.166522</v>
      </c>
      <c r="L27">
        <v>0.16355900000000001</v>
      </c>
      <c r="M27">
        <v>0.16906399999999999</v>
      </c>
      <c r="N27">
        <v>0.146924</v>
      </c>
      <c r="O27">
        <v>0.157217</v>
      </c>
      <c r="P27">
        <v>0.148088</v>
      </c>
      <c r="Q27">
        <v>0.14910599999999999</v>
      </c>
      <c r="R27">
        <v>0.14580699999999999</v>
      </c>
      <c r="S27">
        <v>0.14333799999999999</v>
      </c>
      <c r="T27">
        <v>0.13547999999999999</v>
      </c>
      <c r="U27">
        <v>0.131939</v>
      </c>
      <c r="V27">
        <v>0.13194900000000001</v>
      </c>
      <c r="W27">
        <v>0.133298</v>
      </c>
      <c r="X27">
        <v>0.133607</v>
      </c>
      <c r="Y27">
        <v>0.13406899999999999</v>
      </c>
      <c r="Z27">
        <v>0.13417799999999999</v>
      </c>
      <c r="AA27">
        <v>0.13406799999999999</v>
      </c>
      <c r="AB27">
        <v>0.13386600000000001</v>
      </c>
      <c r="AC27">
        <v>0.13447400000000001</v>
      </c>
      <c r="AD27">
        <v>0.13528299999999999</v>
      </c>
      <c r="AE27">
        <v>0.135296</v>
      </c>
      <c r="AF27">
        <v>0.13552</v>
      </c>
      <c r="AG27">
        <v>0.13550300000000001</v>
      </c>
      <c r="AH27">
        <v>0.134629</v>
      </c>
      <c r="AI27">
        <v>0.1346</v>
      </c>
      <c r="AJ27">
        <v>0.134432</v>
      </c>
      <c r="AK27">
        <v>0.13452700000000001</v>
      </c>
      <c r="AL27">
        <v>0.140319</v>
      </c>
      <c r="AM27">
        <v>0.14061399999999999</v>
      </c>
      <c r="AN27">
        <v>0.14099</v>
      </c>
      <c r="AO27">
        <v>0.146394</v>
      </c>
      <c r="AP27">
        <v>0.14705699999999999</v>
      </c>
    </row>
    <row r="28" spans="1:42" x14ac:dyDescent="0.3">
      <c r="A28" t="s">
        <v>755</v>
      </c>
      <c r="B28" t="s">
        <v>755</v>
      </c>
      <c r="C28" t="s">
        <v>756</v>
      </c>
      <c r="D28" t="s">
        <v>757</v>
      </c>
      <c r="E28" t="s">
        <v>364</v>
      </c>
      <c r="I28">
        <v>5.2762999999999997E-2</v>
      </c>
      <c r="J28">
        <v>4.5631999999999999E-2</v>
      </c>
      <c r="K28">
        <v>3.7296999999999997E-2</v>
      </c>
      <c r="L28">
        <v>4.0923000000000001E-2</v>
      </c>
      <c r="M28">
        <v>3.6082999999999997E-2</v>
      </c>
      <c r="N28">
        <v>3.3406999999999999E-2</v>
      </c>
      <c r="O28">
        <v>3.5255000000000002E-2</v>
      </c>
      <c r="P28">
        <v>3.2028000000000001E-2</v>
      </c>
      <c r="Q28">
        <v>3.1956999999999999E-2</v>
      </c>
      <c r="R28">
        <v>3.1941999999999998E-2</v>
      </c>
      <c r="S28">
        <v>3.1793000000000002E-2</v>
      </c>
      <c r="T28">
        <v>3.0144000000000001E-2</v>
      </c>
      <c r="U28">
        <v>2.9406999999999999E-2</v>
      </c>
      <c r="V28">
        <v>2.9291999999999999E-2</v>
      </c>
      <c r="W28">
        <v>2.9196E-2</v>
      </c>
      <c r="X28">
        <v>2.9051E-2</v>
      </c>
      <c r="Y28">
        <v>2.9798999999999999E-2</v>
      </c>
      <c r="Z28">
        <v>2.9675E-2</v>
      </c>
      <c r="AA28">
        <v>3.0081E-2</v>
      </c>
      <c r="AB28">
        <v>2.9995000000000001E-2</v>
      </c>
      <c r="AC28">
        <v>3.0062999999999999E-2</v>
      </c>
      <c r="AD28">
        <v>2.9950999999999998E-2</v>
      </c>
      <c r="AE28">
        <v>2.9982999999999999E-2</v>
      </c>
      <c r="AF28">
        <v>2.9960000000000001E-2</v>
      </c>
      <c r="AG28">
        <v>3.0157E-2</v>
      </c>
      <c r="AH28">
        <v>3.0133E-2</v>
      </c>
      <c r="AI28">
        <v>3.0165000000000001E-2</v>
      </c>
      <c r="AJ28">
        <v>3.0145999999999999E-2</v>
      </c>
      <c r="AK28">
        <v>3.0172999999999998E-2</v>
      </c>
      <c r="AL28">
        <v>3.031E-2</v>
      </c>
      <c r="AM28">
        <v>3.0358E-2</v>
      </c>
      <c r="AN28">
        <v>3.0474000000000001E-2</v>
      </c>
      <c r="AO28">
        <v>3.0587E-2</v>
      </c>
      <c r="AP28">
        <v>3.0695E-2</v>
      </c>
    </row>
    <row r="29" spans="1:42" x14ac:dyDescent="0.3">
      <c r="A29" t="s">
        <v>758</v>
      </c>
      <c r="B29" t="s">
        <v>758</v>
      </c>
      <c r="C29" t="s">
        <v>759</v>
      </c>
      <c r="D29" t="s">
        <v>760</v>
      </c>
      <c r="E29" t="s">
        <v>364</v>
      </c>
      <c r="I29">
        <v>3.0306E-2</v>
      </c>
      <c r="J29">
        <v>3.3104000000000001E-2</v>
      </c>
      <c r="K29">
        <v>3.1074000000000001E-2</v>
      </c>
      <c r="L29">
        <v>2.9326000000000001E-2</v>
      </c>
      <c r="M29">
        <v>2.8909000000000001E-2</v>
      </c>
      <c r="N29">
        <v>2.6096999999999999E-2</v>
      </c>
      <c r="O29">
        <v>2.6141999999999999E-2</v>
      </c>
      <c r="P29">
        <v>2.5590000000000002E-2</v>
      </c>
      <c r="Q29">
        <v>2.5611999999999999E-2</v>
      </c>
      <c r="R29">
        <v>2.5363E-2</v>
      </c>
      <c r="S29">
        <v>2.5058E-2</v>
      </c>
      <c r="T29">
        <v>2.4745E-2</v>
      </c>
      <c r="U29">
        <v>2.4274E-2</v>
      </c>
      <c r="V29">
        <v>2.4035999999999998E-2</v>
      </c>
      <c r="W29">
        <v>2.384E-2</v>
      </c>
      <c r="X29">
        <v>2.2006999999999999E-2</v>
      </c>
      <c r="Y29">
        <v>2.1625999999999999E-2</v>
      </c>
      <c r="Z29">
        <v>2.0728E-2</v>
      </c>
      <c r="AA29">
        <v>2.0643999999999999E-2</v>
      </c>
      <c r="AB29">
        <v>1.9789000000000001E-2</v>
      </c>
      <c r="AC29">
        <v>1.9886000000000001E-2</v>
      </c>
      <c r="AD29">
        <v>2.0183E-2</v>
      </c>
      <c r="AE29">
        <v>2.0372999999999999E-2</v>
      </c>
      <c r="AF29">
        <v>1.9944E-2</v>
      </c>
      <c r="AG29">
        <v>1.9694E-2</v>
      </c>
      <c r="AH29">
        <v>1.9015000000000001E-2</v>
      </c>
      <c r="AI29">
        <v>1.8082000000000001E-2</v>
      </c>
      <c r="AJ29">
        <v>1.7749000000000001E-2</v>
      </c>
      <c r="AK29">
        <v>1.7330000000000002E-2</v>
      </c>
      <c r="AL29">
        <v>1.7052000000000001E-2</v>
      </c>
      <c r="AM29">
        <v>1.6774000000000001E-2</v>
      </c>
      <c r="AN29">
        <v>1.6618999999999998E-2</v>
      </c>
      <c r="AO29">
        <v>1.6455000000000001E-2</v>
      </c>
      <c r="AP29">
        <v>1.6648E-2</v>
      </c>
    </row>
    <row r="30" spans="1:42" x14ac:dyDescent="0.3">
      <c r="A30" t="s">
        <v>761</v>
      </c>
      <c r="B30" t="s">
        <v>761</v>
      </c>
      <c r="C30" t="s">
        <v>762</v>
      </c>
      <c r="D30" t="s">
        <v>763</v>
      </c>
      <c r="E30" t="s">
        <v>364</v>
      </c>
      <c r="I30">
        <v>0.46062399999999998</v>
      </c>
      <c r="J30">
        <v>0.58218800000000004</v>
      </c>
      <c r="K30">
        <v>0.63320299999999996</v>
      </c>
      <c r="L30">
        <v>0.73886200000000002</v>
      </c>
      <c r="M30">
        <v>0.91008199999999995</v>
      </c>
      <c r="N30">
        <v>1.1771119999999999</v>
      </c>
      <c r="O30">
        <v>1.5201910000000001</v>
      </c>
      <c r="P30">
        <v>2.1368870000000002</v>
      </c>
      <c r="Q30">
        <v>3.17957</v>
      </c>
      <c r="R30">
        <v>4.3258409999999996</v>
      </c>
      <c r="S30">
        <v>5.3526850000000001</v>
      </c>
      <c r="T30">
        <v>5.9587370000000002</v>
      </c>
      <c r="U30">
        <v>6.2759790000000004</v>
      </c>
      <c r="V30">
        <v>6.4780049999999996</v>
      </c>
      <c r="W30">
        <v>6.8251410000000003</v>
      </c>
      <c r="X30">
        <v>7.3162960000000004</v>
      </c>
      <c r="Y30">
        <v>7.6675360000000001</v>
      </c>
      <c r="Z30">
        <v>7.9986519999999999</v>
      </c>
      <c r="AA30">
        <v>8.1919170000000001</v>
      </c>
      <c r="AB30">
        <v>8.5402360000000002</v>
      </c>
      <c r="AC30">
        <v>8.8807010000000002</v>
      </c>
      <c r="AD30">
        <v>9.2025190000000006</v>
      </c>
      <c r="AE30">
        <v>9.3771719999999998</v>
      </c>
      <c r="AF30">
        <v>9.6797719999999998</v>
      </c>
      <c r="AG30">
        <v>9.8126370000000005</v>
      </c>
      <c r="AH30">
        <v>10.017440000000001</v>
      </c>
      <c r="AI30">
        <v>10.248034000000001</v>
      </c>
      <c r="AJ30">
        <v>10.580895</v>
      </c>
      <c r="AK30">
        <v>10.882163</v>
      </c>
      <c r="AL30">
        <v>11.308514000000001</v>
      </c>
      <c r="AM30">
        <v>11.581096000000001</v>
      </c>
      <c r="AN30">
        <v>11.847967000000001</v>
      </c>
      <c r="AO30">
        <v>12.144064999999999</v>
      </c>
      <c r="AP30">
        <v>12.509926</v>
      </c>
    </row>
    <row r="31" spans="1:42" x14ac:dyDescent="0.3">
      <c r="A31" t="s">
        <v>764</v>
      </c>
      <c r="B31" t="s">
        <v>764</v>
      </c>
      <c r="C31" t="s">
        <v>765</v>
      </c>
      <c r="D31" t="s">
        <v>766</v>
      </c>
      <c r="E31" t="s">
        <v>364</v>
      </c>
      <c r="I31">
        <v>2.3516159999999999</v>
      </c>
      <c r="J31">
        <v>2.5264250000000001</v>
      </c>
      <c r="K31">
        <v>2.705981</v>
      </c>
      <c r="L31">
        <v>3.0600890000000001</v>
      </c>
      <c r="M31">
        <v>3.3213710000000001</v>
      </c>
      <c r="N31">
        <v>3.8973849999999999</v>
      </c>
      <c r="O31">
        <v>4.0568759999999999</v>
      </c>
      <c r="P31">
        <v>4.0465689999999999</v>
      </c>
      <c r="Q31">
        <v>4.4204990000000004</v>
      </c>
      <c r="R31">
        <v>4.9956579999999997</v>
      </c>
      <c r="S31">
        <v>5.7010519999999998</v>
      </c>
      <c r="T31">
        <v>6.588266</v>
      </c>
      <c r="U31">
        <v>7.313008</v>
      </c>
      <c r="V31">
        <v>8.0155049999999992</v>
      </c>
      <c r="W31">
        <v>8.317482</v>
      </c>
      <c r="X31">
        <v>8.4689440000000005</v>
      </c>
      <c r="Y31">
        <v>8.8520240000000001</v>
      </c>
      <c r="Z31">
        <v>9.1099150000000009</v>
      </c>
      <c r="AA31">
        <v>9.3746930000000006</v>
      </c>
      <c r="AB31">
        <v>9.4935489999999998</v>
      </c>
      <c r="AC31">
        <v>9.5012129999999999</v>
      </c>
      <c r="AD31">
        <v>9.4664699999999993</v>
      </c>
      <c r="AE31">
        <v>9.4731489999999994</v>
      </c>
      <c r="AF31">
        <v>9.4552800000000001</v>
      </c>
      <c r="AG31">
        <v>9.4666809999999995</v>
      </c>
      <c r="AH31">
        <v>9.4862249999999992</v>
      </c>
      <c r="AI31">
        <v>9.5258459999999996</v>
      </c>
      <c r="AJ31">
        <v>9.5890430000000002</v>
      </c>
      <c r="AK31">
        <v>9.6472519999999999</v>
      </c>
      <c r="AL31">
        <v>9.6386099999999999</v>
      </c>
      <c r="AM31">
        <v>9.7144030000000008</v>
      </c>
      <c r="AN31">
        <v>9.8016349999999992</v>
      </c>
      <c r="AO31">
        <v>9.792878</v>
      </c>
      <c r="AP31">
        <v>9.8574029999999997</v>
      </c>
    </row>
    <row r="32" spans="1:42" x14ac:dyDescent="0.3">
      <c r="A32" t="s">
        <v>767</v>
      </c>
      <c r="B32" t="s">
        <v>767</v>
      </c>
      <c r="C32" t="s">
        <v>768</v>
      </c>
      <c r="D32" t="s">
        <v>769</v>
      </c>
      <c r="E32" t="s">
        <v>364</v>
      </c>
      <c r="I32">
        <v>10.704628</v>
      </c>
      <c r="J32">
        <v>10.979689</v>
      </c>
      <c r="K32">
        <v>11.369695999999999</v>
      </c>
      <c r="L32">
        <v>11.344614999999999</v>
      </c>
      <c r="M32">
        <v>11.730729</v>
      </c>
      <c r="N32">
        <v>12.806632</v>
      </c>
      <c r="O32">
        <v>13.546563000000001</v>
      </c>
      <c r="P32">
        <v>14.092015</v>
      </c>
      <c r="Q32">
        <v>15.552782000000001</v>
      </c>
      <c r="R32">
        <v>17.248374999999999</v>
      </c>
      <c r="S32">
        <v>18.956731999999999</v>
      </c>
      <c r="T32">
        <v>20.29533</v>
      </c>
      <c r="U32">
        <v>21.314304</v>
      </c>
      <c r="V32">
        <v>22.197727</v>
      </c>
      <c r="W32">
        <v>22.835978000000001</v>
      </c>
      <c r="X32">
        <v>23.473590999999999</v>
      </c>
      <c r="Y32">
        <v>24.228859</v>
      </c>
      <c r="Z32">
        <v>24.840157000000001</v>
      </c>
      <c r="AA32">
        <v>25.325614999999999</v>
      </c>
      <c r="AB32">
        <v>25.811091999999999</v>
      </c>
      <c r="AC32">
        <v>26.165939000000002</v>
      </c>
      <c r="AD32">
        <v>26.458969</v>
      </c>
      <c r="AE32">
        <v>26.633887999999999</v>
      </c>
      <c r="AF32">
        <v>26.933115000000001</v>
      </c>
      <c r="AG32">
        <v>27.093468000000001</v>
      </c>
      <c r="AH32">
        <v>27.345759999999999</v>
      </c>
      <c r="AI32">
        <v>27.631160999999999</v>
      </c>
      <c r="AJ32">
        <v>28.036123</v>
      </c>
      <c r="AK32">
        <v>28.413322000000001</v>
      </c>
      <c r="AL32">
        <v>28.869313999999999</v>
      </c>
      <c r="AM32">
        <v>29.271667000000001</v>
      </c>
      <c r="AN32">
        <v>29.704913999999999</v>
      </c>
      <c r="AO32">
        <v>30.040731000000001</v>
      </c>
      <c r="AP32">
        <v>30.511296999999999</v>
      </c>
    </row>
    <row r="33" spans="1:42" x14ac:dyDescent="0.3">
      <c r="A33" t="s">
        <v>770</v>
      </c>
      <c r="B33" t="s">
        <v>770</v>
      </c>
      <c r="D33" t="s">
        <v>771</v>
      </c>
    </row>
    <row r="34" spans="1:42" x14ac:dyDescent="0.3">
      <c r="A34" t="s">
        <v>772</v>
      </c>
      <c r="B34" t="s">
        <v>772</v>
      </c>
      <c r="C34" t="s">
        <v>773</v>
      </c>
      <c r="D34" t="s">
        <v>774</v>
      </c>
      <c r="E34" t="s">
        <v>364</v>
      </c>
      <c r="I34">
        <v>1.3092159999999999</v>
      </c>
      <c r="J34">
        <v>1.3181339999999999</v>
      </c>
      <c r="K34">
        <v>1.294333</v>
      </c>
      <c r="L34">
        <v>1.133613</v>
      </c>
      <c r="M34">
        <v>1.2178500000000001</v>
      </c>
      <c r="N34">
        <v>1.2631540000000001</v>
      </c>
      <c r="O34">
        <v>1.2392799999999999</v>
      </c>
      <c r="P34">
        <v>1.3242309999999999</v>
      </c>
      <c r="Q34">
        <v>1.3184070000000001</v>
      </c>
      <c r="R34">
        <v>1.315272</v>
      </c>
      <c r="S34">
        <v>1.3134950000000001</v>
      </c>
      <c r="T34">
        <v>1.317761</v>
      </c>
      <c r="U34">
        <v>1.3133840000000001</v>
      </c>
      <c r="V34">
        <v>1.305957</v>
      </c>
      <c r="W34">
        <v>1.3003089999999999</v>
      </c>
      <c r="X34">
        <v>1.2950349999999999</v>
      </c>
      <c r="Y34">
        <v>1.293353</v>
      </c>
      <c r="Z34">
        <v>1.293118</v>
      </c>
      <c r="AA34">
        <v>1.302341</v>
      </c>
      <c r="AB34">
        <v>1.3012250000000001</v>
      </c>
      <c r="AC34">
        <v>1.302217</v>
      </c>
      <c r="AD34">
        <v>1.3045629999999999</v>
      </c>
      <c r="AE34">
        <v>1.307725</v>
      </c>
      <c r="AF34">
        <v>1.313264</v>
      </c>
      <c r="AG34">
        <v>1.330781</v>
      </c>
      <c r="AH34">
        <v>1.33853</v>
      </c>
      <c r="AI34">
        <v>1.347896</v>
      </c>
      <c r="AJ34">
        <v>1.3498380000000001</v>
      </c>
      <c r="AK34">
        <v>1.3595170000000001</v>
      </c>
      <c r="AL34">
        <v>1.375432</v>
      </c>
      <c r="AM34">
        <v>1.3925050000000001</v>
      </c>
      <c r="AN34">
        <v>1.4234519999999999</v>
      </c>
      <c r="AO34">
        <v>1.43737</v>
      </c>
      <c r="AP34">
        <v>1.4473229999999999</v>
      </c>
    </row>
    <row r="35" spans="1:42" x14ac:dyDescent="0.3">
      <c r="A35" t="s">
        <v>775</v>
      </c>
      <c r="B35" t="s">
        <v>775</v>
      </c>
      <c r="C35" t="s">
        <v>776</v>
      </c>
      <c r="D35" t="s">
        <v>777</v>
      </c>
      <c r="E35" t="s">
        <v>364</v>
      </c>
      <c r="I35">
        <v>7.3800000000000005E-4</v>
      </c>
      <c r="J35">
        <v>1.8959999999999999E-3</v>
      </c>
      <c r="K35">
        <v>5.0500000000000002E-4</v>
      </c>
      <c r="L35">
        <v>9.9999999999999995E-7</v>
      </c>
      <c r="M35">
        <v>1.4139999999999999E-3</v>
      </c>
      <c r="N35">
        <v>1.4549999999999999E-3</v>
      </c>
      <c r="O35">
        <v>1.397E-3</v>
      </c>
      <c r="P35">
        <v>1.4679999999999999E-3</v>
      </c>
      <c r="Q35">
        <v>1.4679999999999999E-3</v>
      </c>
      <c r="R35">
        <v>1.4679999999999999E-3</v>
      </c>
      <c r="S35">
        <v>1.4679999999999999E-3</v>
      </c>
      <c r="T35">
        <v>1.4679999999999999E-3</v>
      </c>
      <c r="U35">
        <v>4.6299999999999998E-4</v>
      </c>
      <c r="V35">
        <v>1.031E-3</v>
      </c>
      <c r="W35">
        <v>8.5099999999999998E-4</v>
      </c>
      <c r="X35">
        <v>8.1999999999999998E-4</v>
      </c>
      <c r="Y35">
        <v>4.6299999999999998E-4</v>
      </c>
      <c r="Z35">
        <v>4.6299999999999998E-4</v>
      </c>
      <c r="AA35">
        <v>4.6299999999999998E-4</v>
      </c>
      <c r="AB35">
        <v>4.6299999999999998E-4</v>
      </c>
      <c r="AC35">
        <v>4.6299999999999998E-4</v>
      </c>
      <c r="AD35">
        <v>4.6299999999999998E-4</v>
      </c>
      <c r="AE35">
        <v>4.6299999999999998E-4</v>
      </c>
      <c r="AF35">
        <v>4.6299999999999998E-4</v>
      </c>
      <c r="AG35">
        <v>3.8999999999999999E-5</v>
      </c>
      <c r="AH35">
        <v>4.6299999999999998E-4</v>
      </c>
      <c r="AI35">
        <v>4.6299999999999998E-4</v>
      </c>
      <c r="AJ35">
        <v>7.1500000000000003E-4</v>
      </c>
      <c r="AK35">
        <v>1.4679999999999999E-3</v>
      </c>
      <c r="AL35">
        <v>4.6299999999999998E-4</v>
      </c>
      <c r="AM35">
        <v>4.6299999999999998E-4</v>
      </c>
      <c r="AN35">
        <v>4.6299999999999998E-4</v>
      </c>
      <c r="AO35">
        <v>4.2400000000000001E-4</v>
      </c>
      <c r="AP35">
        <v>8.2299999999999995E-4</v>
      </c>
    </row>
    <row r="36" spans="1:42" x14ac:dyDescent="0.3">
      <c r="A36" t="s">
        <v>778</v>
      </c>
      <c r="B36" t="s">
        <v>778</v>
      </c>
      <c r="C36" t="s">
        <v>779</v>
      </c>
      <c r="D36" t="s">
        <v>780</v>
      </c>
      <c r="E36" t="s">
        <v>364</v>
      </c>
      <c r="I36">
        <v>-0.110655</v>
      </c>
      <c r="J36">
        <v>-0.132965</v>
      </c>
      <c r="K36">
        <v>-0.114745</v>
      </c>
      <c r="L36">
        <v>-9.8394999999999996E-2</v>
      </c>
      <c r="M36">
        <v>-9.8820000000000005E-2</v>
      </c>
      <c r="N36">
        <v>-0.117203</v>
      </c>
      <c r="O36">
        <v>-9.5380000000000006E-2</v>
      </c>
      <c r="P36">
        <v>-0.152586</v>
      </c>
      <c r="Q36">
        <v>-0.15639900000000001</v>
      </c>
      <c r="R36">
        <v>-0.160302</v>
      </c>
      <c r="S36">
        <v>-0.16431100000000001</v>
      </c>
      <c r="T36">
        <v>-0.17644499999999999</v>
      </c>
      <c r="U36">
        <v>-0.18085000000000001</v>
      </c>
      <c r="V36">
        <v>-0.185365</v>
      </c>
      <c r="W36">
        <v>-0.19000700000000001</v>
      </c>
      <c r="X36">
        <v>-0.19475899999999999</v>
      </c>
      <c r="Y36">
        <v>-0.19962199999999999</v>
      </c>
      <c r="Z36">
        <v>-0.20461099999999999</v>
      </c>
      <c r="AA36">
        <v>-0.21925900000000001</v>
      </c>
      <c r="AB36">
        <v>-0.22473899999999999</v>
      </c>
      <c r="AC36">
        <v>-0.23036699999999999</v>
      </c>
      <c r="AD36">
        <v>-0.236128</v>
      </c>
      <c r="AE36">
        <v>-0.24202000000000001</v>
      </c>
      <c r="AF36">
        <v>-0.24807799999999999</v>
      </c>
      <c r="AG36">
        <v>-0.26534000000000002</v>
      </c>
      <c r="AH36">
        <v>-0.27197100000000002</v>
      </c>
      <c r="AI36">
        <v>-0.27877400000000002</v>
      </c>
      <c r="AJ36">
        <v>-0.27644299999999999</v>
      </c>
      <c r="AK36">
        <v>-0.280831</v>
      </c>
      <c r="AL36">
        <v>-0.28769099999999997</v>
      </c>
      <c r="AM36">
        <v>-0.29488700000000001</v>
      </c>
      <c r="AN36">
        <v>-0.31539</v>
      </c>
      <c r="AO36">
        <v>-0.31751099999999999</v>
      </c>
      <c r="AP36">
        <v>-0.31398500000000001</v>
      </c>
    </row>
    <row r="37" spans="1:42" x14ac:dyDescent="0.3">
      <c r="A37" t="s">
        <v>781</v>
      </c>
      <c r="B37" t="s">
        <v>781</v>
      </c>
      <c r="C37" t="s">
        <v>782</v>
      </c>
      <c r="D37" t="s">
        <v>783</v>
      </c>
      <c r="E37" t="s">
        <v>364</v>
      </c>
      <c r="I37">
        <v>1.1992989999999999</v>
      </c>
      <c r="J37">
        <v>1.187066</v>
      </c>
      <c r="K37">
        <v>1.180094</v>
      </c>
      <c r="L37">
        <v>1.035218</v>
      </c>
      <c r="M37">
        <v>1.120444</v>
      </c>
      <c r="N37">
        <v>1.1474059999999999</v>
      </c>
      <c r="O37">
        <v>1.145297</v>
      </c>
      <c r="P37">
        <v>1.1731119999999999</v>
      </c>
      <c r="Q37">
        <v>1.163476</v>
      </c>
      <c r="R37">
        <v>1.1564380000000001</v>
      </c>
      <c r="S37">
        <v>1.150652</v>
      </c>
      <c r="T37">
        <v>1.142784</v>
      </c>
      <c r="U37">
        <v>1.132997</v>
      </c>
      <c r="V37">
        <v>1.1216219999999999</v>
      </c>
      <c r="W37">
        <v>1.1111530000000001</v>
      </c>
      <c r="X37">
        <v>1.1010960000000001</v>
      </c>
      <c r="Y37">
        <v>1.0941940000000001</v>
      </c>
      <c r="Z37">
        <v>1.0889690000000001</v>
      </c>
      <c r="AA37">
        <v>1.083545</v>
      </c>
      <c r="AB37">
        <v>1.076948</v>
      </c>
      <c r="AC37">
        <v>1.0723130000000001</v>
      </c>
      <c r="AD37">
        <v>1.068897</v>
      </c>
      <c r="AE37">
        <v>1.066168</v>
      </c>
      <c r="AF37">
        <v>1.0656490000000001</v>
      </c>
      <c r="AG37">
        <v>1.0654809999999999</v>
      </c>
      <c r="AH37">
        <v>1.0670219999999999</v>
      </c>
      <c r="AI37">
        <v>1.069585</v>
      </c>
      <c r="AJ37">
        <v>1.074109</v>
      </c>
      <c r="AK37">
        <v>1.0801540000000001</v>
      </c>
      <c r="AL37">
        <v>1.088203</v>
      </c>
      <c r="AM37">
        <v>1.0980799999999999</v>
      </c>
      <c r="AN37">
        <v>1.108525</v>
      </c>
      <c r="AO37">
        <v>1.120282</v>
      </c>
      <c r="AP37">
        <v>1.134161</v>
      </c>
    </row>
    <row r="38" spans="1:42" x14ac:dyDescent="0.3">
      <c r="A38" t="s">
        <v>784</v>
      </c>
      <c r="B38" t="s">
        <v>784</v>
      </c>
      <c r="D38" t="s">
        <v>785</v>
      </c>
    </row>
    <row r="39" spans="1:42" x14ac:dyDescent="0.3">
      <c r="A39" t="s">
        <v>786</v>
      </c>
      <c r="B39" t="s">
        <v>786</v>
      </c>
      <c r="D39" t="s">
        <v>787</v>
      </c>
    </row>
    <row r="40" spans="1:42" x14ac:dyDescent="0.3">
      <c r="A40" t="s">
        <v>360</v>
      </c>
      <c r="B40" t="s">
        <v>360</v>
      </c>
      <c r="C40" t="s">
        <v>788</v>
      </c>
      <c r="D40" t="s">
        <v>789</v>
      </c>
      <c r="E40" t="s">
        <v>364</v>
      </c>
      <c r="I40">
        <v>0.18323200000000001</v>
      </c>
      <c r="J40">
        <v>0.229909</v>
      </c>
      <c r="K40">
        <v>0.24008599999999999</v>
      </c>
      <c r="L40">
        <v>0.27982400000000002</v>
      </c>
      <c r="M40">
        <v>0.34078799999999998</v>
      </c>
      <c r="N40">
        <v>0.39321899999999999</v>
      </c>
      <c r="O40">
        <v>0.43436599999999997</v>
      </c>
      <c r="P40">
        <v>0.48979299999999998</v>
      </c>
      <c r="Q40">
        <v>0.53656400000000004</v>
      </c>
      <c r="R40">
        <v>0.58183300000000004</v>
      </c>
      <c r="S40">
        <v>0.62953099999999995</v>
      </c>
      <c r="T40">
        <v>0.67619799999999997</v>
      </c>
      <c r="U40">
        <v>0.72582400000000002</v>
      </c>
      <c r="V40">
        <v>0.77975099999999997</v>
      </c>
      <c r="W40">
        <v>0.83652899999999997</v>
      </c>
      <c r="X40">
        <v>0.89567300000000005</v>
      </c>
      <c r="Y40">
        <v>0.95067500000000005</v>
      </c>
      <c r="Z40">
        <v>1.0090749999999999</v>
      </c>
      <c r="AA40">
        <v>1.056513</v>
      </c>
      <c r="AB40">
        <v>1.1031200000000001</v>
      </c>
      <c r="AC40">
        <v>1.148593</v>
      </c>
      <c r="AD40">
        <v>1.1967890000000001</v>
      </c>
      <c r="AE40">
        <v>1.2516590000000001</v>
      </c>
      <c r="AF40">
        <v>1.307328</v>
      </c>
      <c r="AG40">
        <v>1.3734329999999999</v>
      </c>
      <c r="AH40">
        <v>1.438137</v>
      </c>
      <c r="AI40">
        <v>1.508013</v>
      </c>
      <c r="AJ40">
        <v>1.5831900000000001</v>
      </c>
      <c r="AK40">
        <v>1.662218</v>
      </c>
      <c r="AL40">
        <v>1.7387349999999999</v>
      </c>
      <c r="AM40">
        <v>1.8198840000000001</v>
      </c>
      <c r="AN40">
        <v>1.9015150000000001</v>
      </c>
      <c r="AO40">
        <v>1.990029</v>
      </c>
      <c r="AP40">
        <v>2.072695</v>
      </c>
    </row>
    <row r="41" spans="1:42" x14ac:dyDescent="0.3">
      <c r="A41" t="s">
        <v>790</v>
      </c>
      <c r="B41" t="s">
        <v>790</v>
      </c>
      <c r="C41" t="s">
        <v>791</v>
      </c>
      <c r="D41" t="s">
        <v>792</v>
      </c>
      <c r="E41" t="s">
        <v>364</v>
      </c>
      <c r="I41">
        <v>2.1384E-2</v>
      </c>
      <c r="J41">
        <v>2.9434999999999999E-2</v>
      </c>
      <c r="K41">
        <v>3.7303999999999997E-2</v>
      </c>
      <c r="L41">
        <v>4.1875999999999997E-2</v>
      </c>
      <c r="M41">
        <v>4.8448999999999999E-2</v>
      </c>
      <c r="N41">
        <v>5.7070999999999997E-2</v>
      </c>
      <c r="O41">
        <v>6.5246999999999999E-2</v>
      </c>
      <c r="P41">
        <v>7.4490000000000001E-2</v>
      </c>
      <c r="Q41">
        <v>8.2332000000000002E-2</v>
      </c>
      <c r="R41">
        <v>8.9647000000000004E-2</v>
      </c>
      <c r="S41">
        <v>9.6698999999999993E-2</v>
      </c>
      <c r="T41">
        <v>0.103424</v>
      </c>
      <c r="U41">
        <v>0.110056</v>
      </c>
      <c r="V41">
        <v>0.11708300000000001</v>
      </c>
      <c r="W41">
        <v>0.1244</v>
      </c>
      <c r="X41">
        <v>0.13175400000000001</v>
      </c>
      <c r="Y41">
        <v>0.136737</v>
      </c>
      <c r="Z41">
        <v>0.13999400000000001</v>
      </c>
      <c r="AA41">
        <v>0.13961699999999999</v>
      </c>
      <c r="AB41">
        <v>0.13946500000000001</v>
      </c>
      <c r="AC41">
        <v>0.13922100000000001</v>
      </c>
      <c r="AD41">
        <v>0.13922000000000001</v>
      </c>
      <c r="AE41">
        <v>0.139213</v>
      </c>
      <c r="AF41">
        <v>0.139127</v>
      </c>
      <c r="AG41">
        <v>0.139539</v>
      </c>
      <c r="AH41">
        <v>0.13955999999999999</v>
      </c>
      <c r="AI41">
        <v>0.13979800000000001</v>
      </c>
      <c r="AJ41">
        <v>0.139983</v>
      </c>
      <c r="AK41">
        <v>0.14035800000000001</v>
      </c>
      <c r="AL41">
        <v>0.140489</v>
      </c>
      <c r="AM41">
        <v>0.140678</v>
      </c>
      <c r="AN41">
        <v>0.140518</v>
      </c>
      <c r="AO41">
        <v>0.14077500000000001</v>
      </c>
      <c r="AP41">
        <v>0.140678</v>
      </c>
    </row>
    <row r="42" spans="1:42" x14ac:dyDescent="0.3">
      <c r="A42" t="s">
        <v>793</v>
      </c>
      <c r="B42" t="s">
        <v>793</v>
      </c>
      <c r="C42" t="s">
        <v>794</v>
      </c>
      <c r="D42" t="s">
        <v>795</v>
      </c>
      <c r="E42" t="s">
        <v>364</v>
      </c>
      <c r="I42">
        <v>3.2333000000000001E-2</v>
      </c>
      <c r="J42">
        <v>4.3832999999999997E-2</v>
      </c>
      <c r="K42">
        <v>1.4064E-2</v>
      </c>
      <c r="L42">
        <v>1.3027E-2</v>
      </c>
      <c r="M42">
        <v>1.3932E-2</v>
      </c>
      <c r="N42">
        <v>1.4845000000000001E-2</v>
      </c>
      <c r="O42">
        <v>1.5337E-2</v>
      </c>
      <c r="P42">
        <v>1.7392999999999999E-2</v>
      </c>
      <c r="Q42">
        <v>1.9101E-2</v>
      </c>
      <c r="R42">
        <v>2.0705000000000001E-2</v>
      </c>
      <c r="S42">
        <v>2.2252999999999998E-2</v>
      </c>
      <c r="T42">
        <v>2.3747000000000001E-2</v>
      </c>
      <c r="U42">
        <v>2.5304E-2</v>
      </c>
      <c r="V42">
        <v>2.6698E-2</v>
      </c>
      <c r="W42">
        <v>2.8160000000000001E-2</v>
      </c>
      <c r="X42">
        <v>2.9547E-2</v>
      </c>
      <c r="Y42">
        <v>3.0886E-2</v>
      </c>
      <c r="Z42">
        <v>3.2044999999999997E-2</v>
      </c>
      <c r="AA42">
        <v>3.2747999999999999E-2</v>
      </c>
      <c r="AB42">
        <v>3.3270000000000001E-2</v>
      </c>
      <c r="AC42">
        <v>3.3674000000000003E-2</v>
      </c>
      <c r="AD42">
        <v>3.3866E-2</v>
      </c>
      <c r="AE42">
        <v>3.424E-2</v>
      </c>
      <c r="AF42">
        <v>3.4597999999999997E-2</v>
      </c>
      <c r="AG42">
        <v>3.5140999999999999E-2</v>
      </c>
      <c r="AH42">
        <v>3.5660999999999998E-2</v>
      </c>
      <c r="AI42">
        <v>3.6152999999999998E-2</v>
      </c>
      <c r="AJ42">
        <v>3.6614000000000001E-2</v>
      </c>
      <c r="AK42">
        <v>3.7157999999999997E-2</v>
      </c>
      <c r="AL42">
        <v>3.7769999999999998E-2</v>
      </c>
      <c r="AM42">
        <v>3.8505999999999999E-2</v>
      </c>
      <c r="AN42">
        <v>3.9142999999999997E-2</v>
      </c>
      <c r="AO42">
        <v>3.9898999999999997E-2</v>
      </c>
      <c r="AP42">
        <v>4.0578000000000003E-2</v>
      </c>
    </row>
    <row r="43" spans="1:42" x14ac:dyDescent="0.3">
      <c r="A43" t="s">
        <v>761</v>
      </c>
      <c r="B43" t="s">
        <v>761</v>
      </c>
      <c r="C43" t="s">
        <v>796</v>
      </c>
      <c r="D43" t="s">
        <v>797</v>
      </c>
      <c r="E43" t="s">
        <v>364</v>
      </c>
      <c r="I43">
        <v>0.12917999999999999</v>
      </c>
      <c r="J43">
        <v>0.15629999999999999</v>
      </c>
      <c r="K43">
        <v>0.18854299999999999</v>
      </c>
      <c r="L43">
        <v>0.224748</v>
      </c>
      <c r="M43">
        <v>0.27823500000000001</v>
      </c>
      <c r="N43">
        <v>0.32074200000000003</v>
      </c>
      <c r="O43">
        <v>0.35317799999999999</v>
      </c>
      <c r="P43">
        <v>0.39725199999999999</v>
      </c>
      <c r="Q43">
        <v>0.43442599999999998</v>
      </c>
      <c r="R43">
        <v>0.47073300000000001</v>
      </c>
      <c r="S43">
        <v>0.50977799999999995</v>
      </c>
      <c r="T43">
        <v>0.54817300000000002</v>
      </c>
      <c r="U43">
        <v>0.58955800000000003</v>
      </c>
      <c r="V43">
        <v>0.63500900000000005</v>
      </c>
      <c r="W43">
        <v>0.682952</v>
      </c>
      <c r="X43">
        <v>0.73329999999999995</v>
      </c>
      <c r="Y43">
        <v>0.78193000000000001</v>
      </c>
      <c r="Z43">
        <v>0.83591400000000005</v>
      </c>
      <c r="AA43">
        <v>0.88302199999999997</v>
      </c>
      <c r="AB43">
        <v>0.92925899999999995</v>
      </c>
      <c r="AC43">
        <v>0.97457099999999997</v>
      </c>
      <c r="AD43">
        <v>1.022575</v>
      </c>
      <c r="AE43">
        <v>1.0770759999999999</v>
      </c>
      <c r="AF43">
        <v>1.132468</v>
      </c>
      <c r="AG43">
        <v>1.1976089999999999</v>
      </c>
      <c r="AH43">
        <v>1.2617700000000001</v>
      </c>
      <c r="AI43">
        <v>1.3309089999999999</v>
      </c>
      <c r="AJ43">
        <v>1.4054310000000001</v>
      </c>
      <c r="AK43">
        <v>1.4835309999999999</v>
      </c>
      <c r="AL43">
        <v>1.559299</v>
      </c>
      <c r="AM43">
        <v>1.639516</v>
      </c>
      <c r="AN43">
        <v>1.7206680000000001</v>
      </c>
      <c r="AO43">
        <v>1.8081609999999999</v>
      </c>
      <c r="AP43">
        <v>1.890247</v>
      </c>
    </row>
    <row r="44" spans="1:42" x14ac:dyDescent="0.3">
      <c r="A44" t="s">
        <v>764</v>
      </c>
      <c r="B44" t="s">
        <v>764</v>
      </c>
      <c r="C44" t="s">
        <v>798</v>
      </c>
      <c r="D44" t="s">
        <v>799</v>
      </c>
      <c r="E44" t="s">
        <v>364</v>
      </c>
      <c r="I44">
        <v>3.3500000000000001E-4</v>
      </c>
      <c r="J44">
        <v>3.4099999999999999E-4</v>
      </c>
      <c r="K44">
        <v>1.75E-4</v>
      </c>
      <c r="L44">
        <v>1.7200000000000001E-4</v>
      </c>
      <c r="M44">
        <v>1.7200000000000001E-4</v>
      </c>
      <c r="N44">
        <v>5.6099999999999998E-4</v>
      </c>
      <c r="O44">
        <v>6.0300000000000002E-4</v>
      </c>
      <c r="P44">
        <v>6.5899999999999997E-4</v>
      </c>
      <c r="Q44">
        <v>7.0500000000000001E-4</v>
      </c>
      <c r="R44">
        <v>7.4799999999999997E-4</v>
      </c>
      <c r="S44">
        <v>8.0099999999999995E-4</v>
      </c>
      <c r="T44">
        <v>8.5400000000000005E-4</v>
      </c>
      <c r="U44">
        <v>9.0700000000000004E-4</v>
      </c>
      <c r="V44">
        <v>9.6000000000000002E-4</v>
      </c>
      <c r="W44">
        <v>1.0169999999999999E-3</v>
      </c>
      <c r="X44">
        <v>1.072E-3</v>
      </c>
      <c r="Y44">
        <v>1.122E-3</v>
      </c>
      <c r="Z44">
        <v>1.122E-3</v>
      </c>
      <c r="AA44">
        <v>1.127E-3</v>
      </c>
      <c r="AB44">
        <v>1.126E-3</v>
      </c>
      <c r="AC44">
        <v>1.1280000000000001E-3</v>
      </c>
      <c r="AD44">
        <v>1.1280000000000001E-3</v>
      </c>
      <c r="AE44">
        <v>1.1299999999999999E-3</v>
      </c>
      <c r="AF44">
        <v>1.1349999999999999E-3</v>
      </c>
      <c r="AG44">
        <v>1.1440000000000001E-3</v>
      </c>
      <c r="AH44">
        <v>1.1460000000000001E-3</v>
      </c>
      <c r="AI44">
        <v>1.1540000000000001E-3</v>
      </c>
      <c r="AJ44">
        <v>1.1620000000000001E-3</v>
      </c>
      <c r="AK44">
        <v>1.17E-3</v>
      </c>
      <c r="AL44">
        <v>1.1770000000000001E-3</v>
      </c>
      <c r="AM44">
        <v>1.183E-3</v>
      </c>
      <c r="AN44">
        <v>1.1869999999999999E-3</v>
      </c>
      <c r="AO44">
        <v>1.194E-3</v>
      </c>
      <c r="AP44">
        <v>1.1919999999999999E-3</v>
      </c>
    </row>
    <row r="45" spans="1:42" x14ac:dyDescent="0.3">
      <c r="A45" t="s">
        <v>387</v>
      </c>
      <c r="B45" t="s">
        <v>387</v>
      </c>
      <c r="C45" t="s">
        <v>800</v>
      </c>
      <c r="D45" t="s">
        <v>801</v>
      </c>
      <c r="E45" t="s">
        <v>364</v>
      </c>
      <c r="I45">
        <v>0.195633</v>
      </c>
      <c r="J45">
        <v>0.216303</v>
      </c>
      <c r="K45">
        <v>0.244787</v>
      </c>
      <c r="L45">
        <v>0.246143</v>
      </c>
      <c r="M45">
        <v>0.27771200000000001</v>
      </c>
      <c r="N45">
        <v>0.34251599999999999</v>
      </c>
      <c r="O45">
        <v>0.388984</v>
      </c>
      <c r="P45">
        <v>0.43183100000000002</v>
      </c>
      <c r="Q45">
        <v>0.46165899999999999</v>
      </c>
      <c r="R45">
        <v>0.47733100000000001</v>
      </c>
      <c r="S45">
        <v>0.49774299999999999</v>
      </c>
      <c r="T45">
        <v>0.51458599999999999</v>
      </c>
      <c r="U45">
        <v>0.54301699999999997</v>
      </c>
      <c r="V45">
        <v>0.56312700000000004</v>
      </c>
      <c r="W45">
        <v>0.584484</v>
      </c>
      <c r="X45">
        <v>0.60242899999999999</v>
      </c>
      <c r="Y45">
        <v>0.628135</v>
      </c>
      <c r="Z45">
        <v>0.65619300000000003</v>
      </c>
      <c r="AA45">
        <v>0.67456300000000002</v>
      </c>
      <c r="AB45">
        <v>0.70348900000000003</v>
      </c>
      <c r="AC45">
        <v>0.71980699999999997</v>
      </c>
      <c r="AD45">
        <v>0.74051999999999996</v>
      </c>
      <c r="AE45">
        <v>0.76336199999999999</v>
      </c>
      <c r="AF45">
        <v>0.78221499999999999</v>
      </c>
      <c r="AG45">
        <v>0.80208500000000005</v>
      </c>
      <c r="AH45">
        <v>0.81651499999999999</v>
      </c>
      <c r="AI45">
        <v>0.829349</v>
      </c>
      <c r="AJ45">
        <v>0.84207200000000004</v>
      </c>
      <c r="AK45">
        <v>0.85361600000000004</v>
      </c>
      <c r="AL45">
        <v>0.87365199999999998</v>
      </c>
      <c r="AM45">
        <v>0.88150099999999998</v>
      </c>
      <c r="AN45">
        <v>0.89169900000000002</v>
      </c>
      <c r="AO45">
        <v>0.89882799999999996</v>
      </c>
      <c r="AP45">
        <v>0.89905100000000004</v>
      </c>
    </row>
    <row r="46" spans="1:42" x14ac:dyDescent="0.3">
      <c r="A46" t="s">
        <v>758</v>
      </c>
      <c r="B46" t="s">
        <v>758</v>
      </c>
      <c r="C46" t="s">
        <v>802</v>
      </c>
      <c r="D46" t="s">
        <v>803</v>
      </c>
      <c r="E46" t="s">
        <v>364</v>
      </c>
      <c r="I46">
        <v>7.3734999999999995E-2</v>
      </c>
      <c r="J46">
        <v>7.4426999999999993E-2</v>
      </c>
      <c r="K46">
        <v>7.5358999999999995E-2</v>
      </c>
      <c r="L46">
        <v>7.3691999999999994E-2</v>
      </c>
      <c r="M46">
        <v>7.4182999999999999E-2</v>
      </c>
      <c r="N46">
        <v>7.3909000000000002E-2</v>
      </c>
      <c r="O46">
        <v>7.4150999999999995E-2</v>
      </c>
      <c r="P46">
        <v>7.5856999999999994E-2</v>
      </c>
      <c r="Q46">
        <v>7.6402999999999999E-2</v>
      </c>
      <c r="R46">
        <v>7.6691999999999996E-2</v>
      </c>
      <c r="S46">
        <v>7.6408000000000004E-2</v>
      </c>
      <c r="T46">
        <v>7.5979000000000005E-2</v>
      </c>
      <c r="U46">
        <v>7.5915999999999997E-2</v>
      </c>
      <c r="V46">
        <v>7.5720999999999997E-2</v>
      </c>
      <c r="W46">
        <v>7.5837000000000002E-2</v>
      </c>
      <c r="X46">
        <v>7.5840000000000005E-2</v>
      </c>
      <c r="Y46">
        <v>7.5718999999999995E-2</v>
      </c>
      <c r="Z46">
        <v>7.5756000000000004E-2</v>
      </c>
      <c r="AA46">
        <v>7.5952000000000006E-2</v>
      </c>
      <c r="AB46">
        <v>7.5837000000000002E-2</v>
      </c>
      <c r="AC46">
        <v>7.5588000000000002E-2</v>
      </c>
      <c r="AD46">
        <v>7.4880000000000002E-2</v>
      </c>
      <c r="AE46">
        <v>7.4638999999999997E-2</v>
      </c>
      <c r="AF46">
        <v>7.4340000000000003E-2</v>
      </c>
      <c r="AG46">
        <v>7.4428999999999995E-2</v>
      </c>
      <c r="AH46">
        <v>7.4297000000000002E-2</v>
      </c>
      <c r="AI46">
        <v>7.4152999999999997E-2</v>
      </c>
      <c r="AJ46">
        <v>7.4107000000000006E-2</v>
      </c>
      <c r="AK46">
        <v>7.4011999999999994E-2</v>
      </c>
      <c r="AL46">
        <v>7.3801000000000005E-2</v>
      </c>
      <c r="AM46">
        <v>7.3764999999999997E-2</v>
      </c>
      <c r="AN46">
        <v>7.3537000000000005E-2</v>
      </c>
      <c r="AO46">
        <v>7.3493000000000003E-2</v>
      </c>
      <c r="AP46">
        <v>7.3126999999999998E-2</v>
      </c>
    </row>
    <row r="47" spans="1:42" x14ac:dyDescent="0.3">
      <c r="A47" t="s">
        <v>761</v>
      </c>
      <c r="B47" t="s">
        <v>761</v>
      </c>
      <c r="C47" t="s">
        <v>804</v>
      </c>
      <c r="D47" t="s">
        <v>805</v>
      </c>
      <c r="E47" t="s">
        <v>364</v>
      </c>
      <c r="I47">
        <v>0.114854</v>
      </c>
      <c r="J47">
        <v>0.13483100000000001</v>
      </c>
      <c r="K47">
        <v>0.162357</v>
      </c>
      <c r="L47">
        <v>0.16556000000000001</v>
      </c>
      <c r="M47">
        <v>0.19664200000000001</v>
      </c>
      <c r="N47">
        <v>0.26181500000000002</v>
      </c>
      <c r="O47">
        <v>0.30804399999999998</v>
      </c>
      <c r="P47">
        <v>0.34912500000000002</v>
      </c>
      <c r="Q47">
        <v>0.37846299999999999</v>
      </c>
      <c r="R47">
        <v>0.39390900000000001</v>
      </c>
      <c r="S47">
        <v>0.41461999999999999</v>
      </c>
      <c r="T47">
        <v>0.43187599999999998</v>
      </c>
      <c r="U47">
        <v>0.46030500000000002</v>
      </c>
      <c r="V47">
        <v>0.480624</v>
      </c>
      <c r="W47">
        <v>0.50182800000000005</v>
      </c>
      <c r="X47">
        <v>0.51975400000000005</v>
      </c>
      <c r="Y47">
        <v>0.54557999999999995</v>
      </c>
      <c r="Z47">
        <v>0.57357999999999998</v>
      </c>
      <c r="AA47">
        <v>0.59170900000000004</v>
      </c>
      <c r="AB47">
        <v>0.62073800000000001</v>
      </c>
      <c r="AC47">
        <v>0.63733600000000001</v>
      </c>
      <c r="AD47">
        <v>0.65883999999999998</v>
      </c>
      <c r="AE47">
        <v>0.68191400000000002</v>
      </c>
      <c r="AF47">
        <v>0.70109399999999999</v>
      </c>
      <c r="AG47">
        <v>0.72085200000000005</v>
      </c>
      <c r="AH47">
        <v>0.73541500000000004</v>
      </c>
      <c r="AI47">
        <v>0.74840499999999999</v>
      </c>
      <c r="AJ47">
        <v>0.76118200000000003</v>
      </c>
      <c r="AK47">
        <v>0.77283400000000002</v>
      </c>
      <c r="AL47">
        <v>0.79308599999999996</v>
      </c>
      <c r="AM47">
        <v>0.80096900000000004</v>
      </c>
      <c r="AN47">
        <v>0.81140100000000004</v>
      </c>
      <c r="AO47">
        <v>0.818581</v>
      </c>
      <c r="AP47">
        <v>0.81918100000000005</v>
      </c>
    </row>
    <row r="48" spans="1:42" x14ac:dyDescent="0.3">
      <c r="A48" t="s">
        <v>764</v>
      </c>
      <c r="B48" t="s">
        <v>764</v>
      </c>
      <c r="C48" t="s">
        <v>806</v>
      </c>
      <c r="D48" t="s">
        <v>807</v>
      </c>
      <c r="E48" t="s">
        <v>364</v>
      </c>
      <c r="I48">
        <v>7.0439999999999999E-3</v>
      </c>
      <c r="J48">
        <v>7.045E-3</v>
      </c>
      <c r="K48">
        <v>7.071E-3</v>
      </c>
      <c r="L48">
        <v>6.8910000000000004E-3</v>
      </c>
      <c r="M48">
        <v>6.888E-3</v>
      </c>
      <c r="N48">
        <v>6.7920000000000003E-3</v>
      </c>
      <c r="O48">
        <v>6.7889999999999999E-3</v>
      </c>
      <c r="P48">
        <v>6.8490000000000001E-3</v>
      </c>
      <c r="Q48">
        <v>6.7939999999999997E-3</v>
      </c>
      <c r="R48">
        <v>6.7299999999999999E-3</v>
      </c>
      <c r="S48">
        <v>6.7140000000000003E-3</v>
      </c>
      <c r="T48">
        <v>6.7320000000000001E-3</v>
      </c>
      <c r="U48">
        <v>6.796E-3</v>
      </c>
      <c r="V48">
        <v>6.7819999999999998E-3</v>
      </c>
      <c r="W48">
        <v>6.8199999999999997E-3</v>
      </c>
      <c r="X48">
        <v>6.8349999999999999E-3</v>
      </c>
      <c r="Y48">
        <v>6.8360000000000001E-3</v>
      </c>
      <c r="Z48">
        <v>6.8570000000000002E-3</v>
      </c>
      <c r="AA48">
        <v>6.9030000000000003E-3</v>
      </c>
      <c r="AB48">
        <v>6.914E-3</v>
      </c>
      <c r="AC48">
        <v>6.8830000000000002E-3</v>
      </c>
      <c r="AD48">
        <v>6.7999999999999996E-3</v>
      </c>
      <c r="AE48">
        <v>6.8079999999999998E-3</v>
      </c>
      <c r="AF48">
        <v>6.7809999999999997E-3</v>
      </c>
      <c r="AG48">
        <v>6.8040000000000002E-3</v>
      </c>
      <c r="AH48">
        <v>6.803E-3</v>
      </c>
      <c r="AI48">
        <v>6.7920000000000003E-3</v>
      </c>
      <c r="AJ48">
        <v>6.783E-3</v>
      </c>
      <c r="AK48">
        <v>6.7689999999999998E-3</v>
      </c>
      <c r="AL48">
        <v>6.7650000000000002E-3</v>
      </c>
      <c r="AM48">
        <v>6.7669999999999996E-3</v>
      </c>
      <c r="AN48">
        <v>6.7600000000000004E-3</v>
      </c>
      <c r="AO48">
        <v>6.7539999999999996E-3</v>
      </c>
      <c r="AP48">
        <v>6.7429999999999999E-3</v>
      </c>
    </row>
  </sheetData>
  <hyperlinks>
    <hyperlink ref="B2" r:id="rId1" location="/?id=24-AEO2020&amp;cases=ref2020&amp;sourcekey=0" xr:uid="{00000000-0004-0000-07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osted_x0020_to xmlns="2f119d7b-84ae-485e-90b2-f8bb54fe4be9" xsi:nil="true"/>
    <PublishingExpirationDate xmlns="http://schemas.microsoft.com/sharepoint/v3" xsi:nil="true"/>
    <Subtopics xmlns="2f119d7b-84ae-485e-90b2-f8bb54fe4be9" xsi:nil="true"/>
    <Demographic xmlns="2f119d7b-84ae-485e-90b2-f8bb54fe4be9" xsi:nil="true"/>
    <PublishingStartDate xmlns="http://schemas.microsoft.com/sharepoint/v3" xsi:nil="true"/>
    <Topic_x0020_area xmlns="2f119d7b-84ae-485e-90b2-f8bb54fe4be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FC7B12AE804049AF890919B65DCAA1" ma:contentTypeVersion="13" ma:contentTypeDescription="Create a new document." ma:contentTypeScope="" ma:versionID="febac0c4bdd87328b3722885e39dea07">
  <xsd:schema xmlns:xsd="http://www.w3.org/2001/XMLSchema" xmlns:xs="http://www.w3.org/2001/XMLSchema" xmlns:p="http://schemas.microsoft.com/office/2006/metadata/properties" xmlns:ns1="http://schemas.microsoft.com/sharepoint/v3" xmlns:ns2="2f119d7b-84ae-485e-90b2-f8bb54fe4be9" xmlns:ns3="c11a4dd1-9999-41de-ad6b-508521c3559d" targetNamespace="http://schemas.microsoft.com/office/2006/metadata/properties" ma:root="true" ma:fieldsID="9702c0a3f89f88410d6f67f392a25147" ns1:_="" ns2:_="" ns3:_="">
    <xsd:import namespace="http://schemas.microsoft.com/sharepoint/v3"/>
    <xsd:import namespace="2f119d7b-84ae-485e-90b2-f8bb54fe4be9"/>
    <xsd:import namespace="c11a4dd1-9999-41de-ad6b-508521c3559d"/>
    <xsd:element name="properties">
      <xsd:complexType>
        <xsd:sequence>
          <xsd:element name="documentManagement">
            <xsd:complexType>
              <xsd:all>
                <xsd:element ref="ns2:Topic_x0020_area" minOccurs="0"/>
                <xsd:element ref="ns2:Subtopics" minOccurs="0"/>
                <xsd:element ref="ns2:Demographic" minOccurs="0"/>
                <xsd:element ref="ns2:Posted_x0020_to"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119d7b-84ae-485e-90b2-f8bb54fe4be9" elementFormDefault="qualified">
    <xsd:import namespace="http://schemas.microsoft.com/office/2006/documentManagement/types"/>
    <xsd:import namespace="http://schemas.microsoft.com/office/infopath/2007/PartnerControls"/>
    <xsd:element name="Topic_x0020_area" ma:index="2" nillable="true" ma:displayName="Topic area" ma:format="Dropdown" ma:internalName="Topic_x0020_area" ma:readOnly="false">
      <xsd:simpleType>
        <xsd:restriction base="dms:Choice">
          <xsd:enumeration value="Economic forecast"/>
          <xsd:enumeration value="Revenue forecast"/>
          <xsd:enumeration value="Corrections forecast"/>
          <xsd:enumeration value="Youth forecast"/>
          <xsd:enumeration value="Demographic forecast"/>
          <xsd:enumeration value="Highway Cost Allocation"/>
        </xsd:restriction>
      </xsd:simpleType>
    </xsd:element>
    <xsd:element name="Subtopics" ma:index="3" nillable="true" ma:displayName="Sub-topic" ma:format="Dropdown" ma:internalName="Subtopics" ma:readOnly="false">
      <xsd:simpleType>
        <xsd:restriction base="dms:Choice">
          <xsd:enumeration value="Corrections"/>
          <xsd:enumeration value="Youth Authority"/>
        </xsd:restriction>
      </xsd:simpleType>
    </xsd:element>
    <xsd:element name="Demographic" ma:index="4" nillable="true" ma:displayName="Demographic" ma:format="Dropdown" ma:internalName="Demographic" ma:readOnly="false">
      <xsd:simpleType>
        <xsd:restriction base="dms:Choice">
          <xsd:enumeration value="Demographic Forecast"/>
          <xsd:enumeration value="Census Data"/>
        </xsd:restriction>
      </xsd:simpleType>
    </xsd:element>
    <xsd:element name="Posted_x0020_to" ma:index="5" nillable="true" ma:displayName="Posted to" ma:format="Dropdown" ma:internalName="Posted_x0020_to">
      <xsd:simpleType>
        <xsd:union memberTypes="dms:Text">
          <xsd:simpleType>
            <xsd:restriction base="dms:Choice">
              <xsd:enumeration value="Current"/>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283CF8-F399-442B-8793-CF8117AD3959}">
  <ds:schemaRefs>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79781efd-de82-40ce-b992-fd17dfa3303c"/>
    <ds:schemaRef ds:uri="http://purl.org/dc/elements/1.1/"/>
  </ds:schemaRefs>
</ds:datastoreItem>
</file>

<file path=customXml/itemProps2.xml><?xml version="1.0" encoding="utf-8"?>
<ds:datastoreItem xmlns:ds="http://schemas.openxmlformats.org/officeDocument/2006/customXml" ds:itemID="{AFA52886-0E91-4FEF-8334-B01B72ED10FE}"/>
</file>

<file path=customXml/itemProps3.xml><?xml version="1.0" encoding="utf-8"?>
<ds:datastoreItem xmlns:ds="http://schemas.openxmlformats.org/officeDocument/2006/customXml" ds:itemID="{767ED02E-0E34-4030-9600-D0B9EFC1FE35}">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120</vt:i4>
      </vt:variant>
    </vt:vector>
  </HeadingPairs>
  <TitlesOfParts>
    <vt:vector size="133" baseType="lpstr">
      <vt:lpstr>Intro</vt:lpstr>
      <vt:lpstr>Forecast_Main</vt:lpstr>
      <vt:lpstr>Table 1 - Volumes</vt:lpstr>
      <vt:lpstr>Table 3+4 - Credit</vt:lpstr>
      <vt:lpstr>CI Trend</vt:lpstr>
      <vt:lpstr>CI Facility</vt:lpstr>
      <vt:lpstr>Electric Vehicles</vt:lpstr>
      <vt:lpstr>AEO Pacific</vt:lpstr>
      <vt:lpstr>AEO Renewable</vt:lpstr>
      <vt:lpstr>Constants Pivot</vt:lpstr>
      <vt:lpstr>Constants_out</vt:lpstr>
      <vt:lpstr>Growth Rate Tables</vt:lpstr>
      <vt:lpstr>Charts</vt:lpstr>
      <vt:lpstr>BR_bgs_T0</vt:lpstr>
      <vt:lpstr>BR_bgs_T1</vt:lpstr>
      <vt:lpstr>BR_bgs_T2</vt:lpstr>
      <vt:lpstr>BR_bio_T0</vt:lpstr>
      <vt:lpstr>BR_bio_T1</vt:lpstr>
      <vt:lpstr>BR_bio_T2</vt:lpstr>
      <vt:lpstr>BR_eth_T0</vt:lpstr>
      <vt:lpstr>BR_eth_T1</vt:lpstr>
      <vt:lpstr>BR_eth_T2</vt:lpstr>
      <vt:lpstr>BR_lp_T0</vt:lpstr>
      <vt:lpstr>BR_lp_T1</vt:lpstr>
      <vt:lpstr>BR_lp_T2</vt:lpstr>
      <vt:lpstr>BR_ren_T0</vt:lpstr>
      <vt:lpstr>BR_ren_T1</vt:lpstr>
      <vt:lpstr>BR_ren_T2</vt:lpstr>
      <vt:lpstr>CFP_TB_HOLD_constants</vt:lpstr>
      <vt:lpstr>CIA_bgs_T0</vt:lpstr>
      <vt:lpstr>CIA_bgs_T1</vt:lpstr>
      <vt:lpstr>CIA_bgs_T2</vt:lpstr>
      <vt:lpstr>CIA_bio_T0</vt:lpstr>
      <vt:lpstr>CIA_Bio_T1</vt:lpstr>
      <vt:lpstr>CIA_bio_T2</vt:lpstr>
      <vt:lpstr>CIA_cbob_T0</vt:lpstr>
      <vt:lpstr>CIA_cbob_T1</vt:lpstr>
      <vt:lpstr>CIA_cbob_T2</vt:lpstr>
      <vt:lpstr>CIA_die_T0</vt:lpstr>
      <vt:lpstr>CIA_die_T1</vt:lpstr>
      <vt:lpstr>CIA_die_T2</vt:lpstr>
      <vt:lpstr>CIA_E10_T0</vt:lpstr>
      <vt:lpstr>CIA_E10_T1</vt:lpstr>
      <vt:lpstr>CIA_E10_T2</vt:lpstr>
      <vt:lpstr>CIA_eon_T0</vt:lpstr>
      <vt:lpstr>CIA_eon_T1</vt:lpstr>
      <vt:lpstr>CIA_eon_T2</vt:lpstr>
      <vt:lpstr>CIA_Eth_T0</vt:lpstr>
      <vt:lpstr>CIA_eth_T1</vt:lpstr>
      <vt:lpstr>CIA_eth_T2</vt:lpstr>
      <vt:lpstr>CIA_fcg_T0</vt:lpstr>
      <vt:lpstr>CIA_fcg_T1</vt:lpstr>
      <vt:lpstr>CIA_fcg_T2</vt:lpstr>
      <vt:lpstr>CIA_gas_T0</vt:lpstr>
      <vt:lpstr>CIA_gas_T1</vt:lpstr>
      <vt:lpstr>CIA_gas_T2</vt:lpstr>
      <vt:lpstr>CIA_lp_T0</vt:lpstr>
      <vt:lpstr>CIA_lp_T1</vt:lpstr>
      <vt:lpstr>CIA_lp_T2</vt:lpstr>
      <vt:lpstr>CIA_ren_T0</vt:lpstr>
      <vt:lpstr>CIA_ren_T1</vt:lpstr>
      <vt:lpstr>CIA_ren_T2</vt:lpstr>
      <vt:lpstr>CIT_die_T0</vt:lpstr>
      <vt:lpstr>CIT_die_T1</vt:lpstr>
      <vt:lpstr>CIT_die_T2</vt:lpstr>
      <vt:lpstr>CIT_gas_T0</vt:lpstr>
      <vt:lpstr>CIT_gas_T1</vt:lpstr>
      <vt:lpstr>CIT_gas_T2</vt:lpstr>
      <vt:lpstr>CIT_jf_T0</vt:lpstr>
      <vt:lpstr>CIT_jf_T1</vt:lpstr>
      <vt:lpstr>CIT_jf_T2</vt:lpstr>
      <vt:lpstr>constants_data_out</vt:lpstr>
      <vt:lpstr>ED_Bio_T0</vt:lpstr>
      <vt:lpstr>ED_bio_T1</vt:lpstr>
      <vt:lpstr>ED_bio_T2</vt:lpstr>
      <vt:lpstr>ED_die_T0</vt:lpstr>
      <vt:lpstr>ED_die_T1</vt:lpstr>
      <vt:lpstr>ED_die_T2</vt:lpstr>
      <vt:lpstr>ED_E10_T0</vt:lpstr>
      <vt:lpstr>ED_E10_T1</vt:lpstr>
      <vt:lpstr>ED_E10_T2</vt:lpstr>
      <vt:lpstr>ED_eon_T0</vt:lpstr>
      <vt:lpstr>ED_eon_T1</vt:lpstr>
      <vt:lpstr>ED_eon_T2</vt:lpstr>
      <vt:lpstr>ED_eth_T0</vt:lpstr>
      <vt:lpstr>ED_eth_T1</vt:lpstr>
      <vt:lpstr>ED_eth_T2</vt:lpstr>
      <vt:lpstr>ED_fcg_T0</vt:lpstr>
      <vt:lpstr>ED_fcg_T1</vt:lpstr>
      <vt:lpstr>ED_fcg_T2</vt:lpstr>
      <vt:lpstr>ED_flg_T0</vt:lpstr>
      <vt:lpstr>ED_flg_T1</vt:lpstr>
      <vt:lpstr>ED_flg_T2</vt:lpstr>
      <vt:lpstr>ED_gas_2018</vt:lpstr>
      <vt:lpstr>ED_gas_T0</vt:lpstr>
      <vt:lpstr>ED_gas_T1</vt:lpstr>
      <vt:lpstr>ED_gas_T2</vt:lpstr>
      <vt:lpstr>ED_hyd_T0</vt:lpstr>
      <vt:lpstr>ED_hyd_T1</vt:lpstr>
      <vt:lpstr>ED_hyd_T2</vt:lpstr>
      <vt:lpstr>ED_jf_T0</vt:lpstr>
      <vt:lpstr>ED_jf_T1</vt:lpstr>
      <vt:lpstr>ED_jf_T2</vt:lpstr>
      <vt:lpstr>ED_lp_T0</vt:lpstr>
      <vt:lpstr>ED_lp_T1</vt:lpstr>
      <vt:lpstr>ED_lp_T2</vt:lpstr>
      <vt:lpstr>ED_ren_T0</vt:lpstr>
      <vt:lpstr>ED_ren_T1</vt:lpstr>
      <vt:lpstr>ED_ren_T2</vt:lpstr>
      <vt:lpstr>EEReon_T0</vt:lpstr>
      <vt:lpstr>EEReon_T1</vt:lpstr>
      <vt:lpstr>EEReon_T2</vt:lpstr>
      <vt:lpstr>EERng_T0</vt:lpstr>
      <vt:lpstr>EERng_T1</vt:lpstr>
      <vt:lpstr>EERng_T2</vt:lpstr>
      <vt:lpstr>GR_die_T0</vt:lpstr>
      <vt:lpstr>GR_die_T1</vt:lpstr>
      <vt:lpstr>GR_die_T2</vt:lpstr>
      <vt:lpstr>GR_eof_T0</vt:lpstr>
      <vt:lpstr>GR_eof_T1</vt:lpstr>
      <vt:lpstr>GR_eof_T2</vt:lpstr>
      <vt:lpstr>GR_gas_T0</vt:lpstr>
      <vt:lpstr>GR_gas_T1</vt:lpstr>
      <vt:lpstr>GR_gas_T2</vt:lpstr>
      <vt:lpstr>GR_lp_T0</vt:lpstr>
      <vt:lpstr>GR_lp_T1</vt:lpstr>
      <vt:lpstr>GR_lp_T2</vt:lpstr>
      <vt:lpstr>GR_ng_T0</vt:lpstr>
      <vt:lpstr>GR_ng_T1</vt:lpstr>
      <vt:lpstr>GR_ng_T2</vt:lpstr>
      <vt:lpstr>KWh_T0</vt:lpstr>
      <vt:lpstr>KWh_T1</vt:lpstr>
      <vt:lpstr>KWh_T2</vt:lpstr>
    </vt:vector>
  </TitlesOfParts>
  <Manager/>
  <Company>ICFI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Sheehy, Philip</dc:creator>
  <cp:keywords/>
  <dc:description/>
  <cp:lastModifiedBy>DSA Mitchell * DAS</cp:lastModifiedBy>
  <cp:revision/>
  <dcterms:created xsi:type="dcterms:W3CDTF">2017-07-18T17:03:04Z</dcterms:created>
  <dcterms:modified xsi:type="dcterms:W3CDTF">2025-09-29T18:15:06Z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0x01010084FC7B12AE804049AF890919B65DCAA1</vt:lpwstr>
  </property>
  <property fmtid="{D5CDD505-2E9C-101B-9397-08002B2CF9AE}" pid="3" name="MSIP_Label_09b73270-2993-4076-be47-9c78f42a1e84_Enabled">
    <vt:lpwstr>true</vt:lpwstr>
  </property>
  <property fmtid="{D5CDD505-2E9C-101B-9397-08002B2CF9AE}" pid="4" name="MSIP_Label_09b73270-2993-4076-be47-9c78f42a1e84_SetDate">
    <vt:lpwstr>2023-12-12T15:13:40Z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34a831e0-ccde-485e-8ce9-a0539fdea0e6</vt:lpwstr>
  </property>
  <property fmtid="{D5CDD505-2E9C-101B-9397-08002B2CF9AE}" pid="9" name="MSIP_Label_09b73270-2993-4076-be47-9c78f42a1e84_ContentBits">
    <vt:lpwstr>0</vt:lpwstr>
  </property>
</Properties>
</file>